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drawings/drawing2.xml" ContentType="application/vnd.openxmlformats-officedocument.drawing+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trlProps/ctrlProp24.xml" ContentType="application/vnd.ms-excel.controlproperties+xml"/>
  <Override PartName="/xl/ctrlProps/ctrlProp25.xml" ContentType="application/vnd.ms-excel.controlproperties+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730"/>
  <workbookPr codeName="ThisWorkbook"/>
  <mc:AlternateContent xmlns:mc="http://schemas.openxmlformats.org/markup-compatibility/2006">
    <mc:Choice Requires="x15">
      <x15ac:absPath xmlns:x15ac="http://schemas.microsoft.com/office/spreadsheetml/2010/11/ac" url="C:\Users\evolk\Desktop\Save to My Documents\"/>
    </mc:Choice>
  </mc:AlternateContent>
  <xr:revisionPtr revIDLastSave="0" documentId="13_ncr:1_{D19E611F-3C23-4687-A2AA-3F0CF67FB087}" xr6:coauthVersionLast="36" xr6:coauthVersionMax="36" xr10:uidLastSave="{00000000-0000-0000-0000-000000000000}"/>
  <workbookProtection workbookPassword="9244" lockStructure="1"/>
  <bookViews>
    <workbookView xWindow="0" yWindow="0" windowWidth="23040" windowHeight="9048" tabRatio="884" xr2:uid="{00000000-000D-0000-FFFF-FFFF00000000}"/>
  </bookViews>
  <sheets>
    <sheet name="Instructions" sheetId="23" r:id="rId1"/>
    <sheet name="Reporting Worksheet" sheetId="22" r:id="rId2"/>
    <sheet name="Performance Indicators" sheetId="53" r:id="rId3"/>
    <sheet name="Comments" sheetId="51" r:id="rId4"/>
    <sheet name="Water Balance" sheetId="16" r:id="rId5"/>
    <sheet name="GradingAssessment" sheetId="30" state="hidden" r:id="rId6"/>
    <sheet name="Dashboard" sheetId="54" r:id="rId7"/>
    <sheet name="Grading Matrix" sheetId="40" r:id="rId8"/>
    <sheet name="Service Connection Diagram" sheetId="42" r:id="rId9"/>
    <sheet name="Definitions" sheetId="2" r:id="rId10"/>
    <sheet name="Loss Control Planning" sheetId="32" r:id="rId11"/>
    <sheet name="Example Audits" sheetId="46" r:id="rId12"/>
    <sheet name="Acknowledgements" sheetId="43" r:id="rId13"/>
    <sheet name="Sheet1" sheetId="27" state="hidden" r:id="rId14"/>
  </sheets>
  <definedNames>
    <definedName name="_xlnm.Print_Area" localSheetId="9">Definitions!$B$1:$N$78</definedName>
    <definedName name="_xlnm.Print_Area" localSheetId="2">'Performance Indicators'!$B$2:$P$47</definedName>
    <definedName name="_xlnm.Print_Area" localSheetId="1">'Reporting Worksheet'!$B$2:$P$99</definedName>
    <definedName name="_xlnm.Print_Area" localSheetId="8">'Service Connection Diagram'!$B$2:$F$24</definedName>
    <definedName name="_xlnm.Print_Titles" localSheetId="3">Comments!$7:$7</definedName>
    <definedName name="_xlnm.Print_Titles" localSheetId="9">Definitions!$4:$4</definedName>
    <definedName name="_xlnm.Print_Titles" localSheetId="7">'Grading Matrix'!$6:$7</definedName>
  </definedNames>
  <calcPr calcId="179021"/>
  <fileRecoveryPr autoRecover="0"/>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A76" i="27" l="1"/>
  <c r="A98" i="27" s="1"/>
  <c r="S15" i="22"/>
  <c r="C82" i="27" s="1"/>
  <c r="D82" i="27" s="1"/>
  <c r="E82" i="27" s="1"/>
  <c r="D90" i="27"/>
  <c r="E90" i="27" s="1"/>
  <c r="S17" i="22"/>
  <c r="C86" i="27" s="1"/>
  <c r="D86" i="27" s="1"/>
  <c r="E86" i="27" s="1"/>
  <c r="S16" i="22"/>
  <c r="C84" i="27"/>
  <c r="D84" i="27" s="1"/>
  <c r="E84" i="27" s="1"/>
  <c r="G4" i="32"/>
  <c r="G4" i="54"/>
  <c r="F5" i="16"/>
  <c r="D4" i="53"/>
  <c r="D4" i="22"/>
  <c r="F6" i="16"/>
  <c r="G6" i="16"/>
  <c r="G12" i="16"/>
  <c r="H5" i="32"/>
  <c r="G5" i="32"/>
  <c r="H5" i="54"/>
  <c r="G5" i="54"/>
  <c r="B17" i="16"/>
  <c r="L13" i="16" s="1"/>
  <c r="D10" i="16"/>
  <c r="P15" i="16"/>
  <c r="B27" i="16"/>
  <c r="L14" i="16" s="1"/>
  <c r="G19" i="22"/>
  <c r="G38" i="22" s="1"/>
  <c r="G20" i="16" s="1"/>
  <c r="B2" i="27"/>
  <c r="E8" i="27"/>
  <c r="C11" i="27" s="1"/>
  <c r="O2" i="27"/>
  <c r="N3" i="27" s="1"/>
  <c r="B3" i="27"/>
  <c r="C3" i="27"/>
  <c r="B4" i="27"/>
  <c r="C4" i="27"/>
  <c r="D4" i="27"/>
  <c r="N4" i="27"/>
  <c r="F5" i="27"/>
  <c r="D2" i="27" s="1"/>
  <c r="D7" i="27"/>
  <c r="D9" i="27"/>
  <c r="H16" i="27"/>
  <c r="B17" i="27"/>
  <c r="D17" i="27"/>
  <c r="B18" i="27"/>
  <c r="C18" i="27"/>
  <c r="B19" i="27"/>
  <c r="C19" i="27"/>
  <c r="D19" i="27"/>
  <c r="D22" i="27"/>
  <c r="E23" i="27"/>
  <c r="C26" i="27" s="1"/>
  <c r="D24" i="27"/>
  <c r="E80" i="27"/>
  <c r="C81" i="27"/>
  <c r="D81" i="27" s="1"/>
  <c r="E81" i="27" s="1"/>
  <c r="A82" i="27"/>
  <c r="C83" i="27"/>
  <c r="D83" i="27" s="1"/>
  <c r="E83" i="27" s="1"/>
  <c r="A84" i="27"/>
  <c r="C85" i="27"/>
  <c r="D85" i="27" s="1"/>
  <c r="E85" i="27" s="1"/>
  <c r="A86" i="27"/>
  <c r="C88" i="27"/>
  <c r="D88" i="27" s="1"/>
  <c r="E88" i="27" s="1"/>
  <c r="C89" i="27"/>
  <c r="D89" i="27" s="1"/>
  <c r="E89" i="27" s="1"/>
  <c r="C90" i="27"/>
  <c r="S25" i="32"/>
  <c r="S26" i="32"/>
  <c r="S27" i="32"/>
  <c r="S28" i="32"/>
  <c r="S29" i="32"/>
  <c r="I55" i="2"/>
  <c r="G56" i="2"/>
  <c r="E4" i="42"/>
  <c r="Q9" i="40"/>
  <c r="Q10" i="40" s="1"/>
  <c r="Q11" i="40"/>
  <c r="Q12" i="40"/>
  <c r="Q13" i="40"/>
  <c r="Q14" i="40" s="1"/>
  <c r="Q15" i="40"/>
  <c r="Q16" i="40" s="1"/>
  <c r="Q17" i="40"/>
  <c r="Q18" i="40" s="1"/>
  <c r="Q19" i="40"/>
  <c r="Q20" i="40" s="1"/>
  <c r="Q22" i="40"/>
  <c r="Q23" i="40" s="1"/>
  <c r="Q24" i="40"/>
  <c r="Q25" i="40" s="1"/>
  <c r="Q26" i="40"/>
  <c r="Q27" i="40" s="1"/>
  <c r="Q28" i="40"/>
  <c r="Q29" i="40" s="1"/>
  <c r="Q31" i="40"/>
  <c r="Q32" i="40" s="1"/>
  <c r="Q33" i="40"/>
  <c r="Q34" i="40" s="1"/>
  <c r="Q35" i="40"/>
  <c r="Q36" i="40"/>
  <c r="Q38" i="40"/>
  <c r="Q39" i="40"/>
  <c r="Q40" i="40"/>
  <c r="Q41" i="40" s="1"/>
  <c r="Q45" i="40"/>
  <c r="Q46" i="40" s="1"/>
  <c r="Q48" i="40"/>
  <c r="Q49" i="40" s="1"/>
  <c r="Q50" i="40"/>
  <c r="Q51" i="40" s="1"/>
  <c r="Q52" i="40"/>
  <c r="Q53" i="40" s="1"/>
  <c r="C4" i="30"/>
  <c r="L4" i="30" s="1"/>
  <c r="C5" i="30"/>
  <c r="L5" i="30" s="1"/>
  <c r="C6" i="30"/>
  <c r="L6" i="30" s="1"/>
  <c r="C7" i="30"/>
  <c r="L7" i="30" s="1"/>
  <c r="C8" i="30"/>
  <c r="C9" i="30"/>
  <c r="L9" i="30" s="1"/>
  <c r="C10" i="30"/>
  <c r="D10" i="30"/>
  <c r="C11" i="30"/>
  <c r="L11" i="30" s="1"/>
  <c r="D11" i="30"/>
  <c r="K11" i="30" s="1"/>
  <c r="C12" i="30"/>
  <c r="L12" i="30" s="1"/>
  <c r="D12" i="30"/>
  <c r="C13" i="30"/>
  <c r="L13" i="30" s="1"/>
  <c r="K13" i="30"/>
  <c r="C14" i="30"/>
  <c r="L14" i="30"/>
  <c r="K14" i="30"/>
  <c r="C15" i="30"/>
  <c r="L15" i="30" s="1"/>
  <c r="K16" i="30"/>
  <c r="C17" i="30"/>
  <c r="L17" i="30" s="1"/>
  <c r="K17" i="30"/>
  <c r="C18" i="30"/>
  <c r="L18" i="30" s="1"/>
  <c r="K18" i="30"/>
  <c r="K19" i="30"/>
  <c r="C20" i="30"/>
  <c r="L20" i="30" s="1"/>
  <c r="K20" i="30"/>
  <c r="C21" i="30"/>
  <c r="L21" i="30" s="1"/>
  <c r="K21" i="30"/>
  <c r="C22" i="30"/>
  <c r="L22" i="30" s="1"/>
  <c r="K22" i="30"/>
  <c r="C23" i="30"/>
  <c r="L23" i="30" s="1"/>
  <c r="K23" i="30"/>
  <c r="L27" i="30"/>
  <c r="F13" i="16"/>
  <c r="O19" i="16" s="1"/>
  <c r="G14" i="16"/>
  <c r="H13" i="16"/>
  <c r="P23" i="16" s="1"/>
  <c r="G16" i="16"/>
  <c r="D5" i="53"/>
  <c r="G5" i="53"/>
  <c r="J11" i="53"/>
  <c r="J13" i="53"/>
  <c r="R13" i="53"/>
  <c r="J15" i="53"/>
  <c r="J17" i="53"/>
  <c r="M21" i="53"/>
  <c r="J28" i="53"/>
  <c r="J32" i="53"/>
  <c r="J34" i="53"/>
  <c r="J38" i="53"/>
  <c r="C46" i="53"/>
  <c r="D5" i="22"/>
  <c r="G5" i="22"/>
  <c r="G9" i="22"/>
  <c r="I15" i="22"/>
  <c r="C80" i="27" s="1"/>
  <c r="P15" i="22"/>
  <c r="I16" i="22"/>
  <c r="P16" i="22"/>
  <c r="I17" i="22"/>
  <c r="P17" i="22"/>
  <c r="I19" i="22"/>
  <c r="T19" i="22"/>
  <c r="I23" i="22"/>
  <c r="I24" i="22"/>
  <c r="I25" i="22"/>
  <c r="I26" i="22"/>
  <c r="P26" i="22"/>
  <c r="I30" i="22"/>
  <c r="I35" i="22"/>
  <c r="I38" i="22"/>
  <c r="P38" i="22"/>
  <c r="G42" i="22"/>
  <c r="C95" i="27" s="1"/>
  <c r="D95" i="27" s="1"/>
  <c r="E95" i="27" s="1"/>
  <c r="I42" i="22"/>
  <c r="P42" i="22"/>
  <c r="G43" i="22"/>
  <c r="C45" i="22" s="1"/>
  <c r="I43" i="22"/>
  <c r="P43" i="22"/>
  <c r="I47" i="22"/>
  <c r="I52" i="22"/>
  <c r="I54" i="22"/>
  <c r="I58" i="22"/>
  <c r="I62" i="22"/>
  <c r="G64" i="22"/>
  <c r="I64" i="22"/>
  <c r="R66" i="22"/>
  <c r="I67" i="22"/>
  <c r="R67" i="22"/>
  <c r="C19" i="30" s="1"/>
  <c r="L19" i="30" s="1"/>
  <c r="M19" i="30" s="1"/>
  <c r="C68" i="22"/>
  <c r="R68" i="22"/>
  <c r="I17" i="53" s="1"/>
  <c r="J43" i="53" s="1"/>
  <c r="I69" i="22"/>
  <c r="G38" i="53" s="1"/>
  <c r="R71" i="22"/>
  <c r="C71" i="22" s="1"/>
  <c r="N77" i="22"/>
  <c r="I78" i="22"/>
  <c r="R80" i="22" s="1"/>
  <c r="E93" i="27"/>
  <c r="K13" i="27"/>
  <c r="H10" i="16"/>
  <c r="C40" i="22"/>
  <c r="C28" i="22"/>
  <c r="C87" i="27"/>
  <c r="D87" i="27" s="1"/>
  <c r="E87" i="27" s="1"/>
  <c r="D21" i="16"/>
  <c r="M16" i="16" s="1"/>
  <c r="O15" i="16"/>
  <c r="N15" i="16"/>
  <c r="L15" i="16"/>
  <c r="T18" i="22"/>
  <c r="U16" i="22" s="1"/>
  <c r="D7" i="30" s="1"/>
  <c r="M15" i="16"/>
  <c r="K10" i="30"/>
  <c r="L8" i="30"/>
  <c r="C16" i="30"/>
  <c r="L16" i="30" s="1"/>
  <c r="M16" i="30" s="1"/>
  <c r="L10" i="30"/>
  <c r="K12" i="30"/>
  <c r="M13" i="30" l="1"/>
  <c r="M22" i="30"/>
  <c r="M20" i="30"/>
  <c r="M14" i="30"/>
  <c r="M25" i="16"/>
  <c r="M21" i="30"/>
  <c r="G26" i="22"/>
  <c r="F17" i="16" s="1"/>
  <c r="O20" i="16" s="1"/>
  <c r="L25" i="16"/>
  <c r="M17" i="30"/>
  <c r="G24" i="16"/>
  <c r="M10" i="30"/>
  <c r="C96" i="27"/>
  <c r="D96" i="27" s="1"/>
  <c r="E96" i="27" s="1"/>
  <c r="M23" i="30"/>
  <c r="M18" i="30"/>
  <c r="D15" i="30"/>
  <c r="K15" i="30" s="1"/>
  <c r="M15" i="30" s="1"/>
  <c r="G22" i="16"/>
  <c r="M12" i="30"/>
  <c r="C20" i="16"/>
  <c r="C94" i="27"/>
  <c r="D94" i="27" s="1"/>
  <c r="E94" i="27" s="1"/>
  <c r="G47" i="22"/>
  <c r="I11" i="53" s="1"/>
  <c r="D91" i="27"/>
  <c r="E91" i="27" s="1"/>
  <c r="A91" i="27"/>
  <c r="A90" i="27"/>
  <c r="Q43" i="40"/>
  <c r="C41" i="53"/>
  <c r="M11" i="30"/>
  <c r="U17" i="22"/>
  <c r="D9" i="30" s="1"/>
  <c r="E9" i="30" s="1"/>
  <c r="T15" i="22"/>
  <c r="D4" i="30" s="1"/>
  <c r="E4" i="30" s="1"/>
  <c r="F4" i="30" s="1"/>
  <c r="T17" i="22"/>
  <c r="D8" i="30" s="1"/>
  <c r="E8" i="30" s="1"/>
  <c r="C91" i="27"/>
  <c r="U15" i="22"/>
  <c r="D5" i="30" s="1"/>
  <c r="E5" i="30" s="1"/>
  <c r="F5" i="30" s="1"/>
  <c r="T16" i="22"/>
  <c r="D6" i="30" s="1"/>
  <c r="E6" i="30" s="1"/>
  <c r="G18" i="16"/>
  <c r="K7" i="30"/>
  <c r="M7" i="30" s="1"/>
  <c r="E7" i="30"/>
  <c r="F7" i="30" s="1"/>
  <c r="G30" i="22"/>
  <c r="C80" i="22"/>
  <c r="D25" i="30" l="1"/>
  <c r="D26" i="30" s="1"/>
  <c r="E12" i="30" s="1"/>
  <c r="F12" i="30" s="1"/>
  <c r="G12" i="30" s="1"/>
  <c r="H12" i="30" s="1"/>
  <c r="F21" i="16"/>
  <c r="O21" i="16" s="1"/>
  <c r="I32" i="53"/>
  <c r="C97" i="27"/>
  <c r="F6" i="30"/>
  <c r="K4" i="30"/>
  <c r="M4" i="30" s="1"/>
  <c r="F9" i="30"/>
  <c r="K6" i="30"/>
  <c r="M6" i="30" s="1"/>
  <c r="K9" i="30"/>
  <c r="M9" i="30" s="1"/>
  <c r="K5" i="30"/>
  <c r="M5" i="30" s="1"/>
  <c r="D24" i="30"/>
  <c r="I19" i="53"/>
  <c r="D97" i="27"/>
  <c r="E97" i="27" s="1"/>
  <c r="F8" i="30"/>
  <c r="G8" i="30" s="1"/>
  <c r="Q42" i="40"/>
  <c r="Q44" i="40"/>
  <c r="E21" i="30"/>
  <c r="F21" i="30" s="1"/>
  <c r="G21" i="30" s="1"/>
  <c r="H21" i="30" s="1"/>
  <c r="E22" i="30"/>
  <c r="F22" i="30" s="1"/>
  <c r="G22" i="30" s="1"/>
  <c r="H22" i="30" s="1"/>
  <c r="E23" i="30"/>
  <c r="F23" i="30" s="1"/>
  <c r="G23" i="30" s="1"/>
  <c r="H23" i="30" s="1"/>
  <c r="E19" i="30"/>
  <c r="F19" i="30" s="1"/>
  <c r="G19" i="30" s="1"/>
  <c r="H19" i="30" s="1"/>
  <c r="E20" i="30"/>
  <c r="F20" i="30" s="1"/>
  <c r="G20" i="30" s="1"/>
  <c r="H20" i="30" s="1"/>
  <c r="E17" i="30"/>
  <c r="F17" i="30" s="1"/>
  <c r="G17" i="30" s="1"/>
  <c r="H17" i="30" s="1"/>
  <c r="E14" i="30"/>
  <c r="F14" i="30" s="1"/>
  <c r="G14" i="30" s="1"/>
  <c r="H14" i="30" s="1"/>
  <c r="K8" i="30"/>
  <c r="M8" i="30" s="1"/>
  <c r="M24" i="30" s="1"/>
  <c r="C32" i="22"/>
  <c r="G35" i="22"/>
  <c r="E15" i="16"/>
  <c r="N17" i="16" s="1"/>
  <c r="C92" i="27"/>
  <c r="D92" i="27" s="1"/>
  <c r="E92" i="27" s="1"/>
  <c r="G4" i="30"/>
  <c r="G5" i="30"/>
  <c r="H5" i="30" s="1"/>
  <c r="H9" i="30"/>
  <c r="G9" i="30"/>
  <c r="G7" i="30"/>
  <c r="H7" i="30" s="1"/>
  <c r="G6" i="30"/>
  <c r="H6" i="30" s="1"/>
  <c r="H8" i="30"/>
  <c r="E16" i="30" l="1"/>
  <c r="F16" i="30" s="1"/>
  <c r="G16" i="30" s="1"/>
  <c r="E10" i="30"/>
  <c r="F10" i="30" s="1"/>
  <c r="G10" i="30" s="1"/>
  <c r="H10" i="30" s="1"/>
  <c r="E18" i="30"/>
  <c r="F18" i="30" s="1"/>
  <c r="G18" i="30" s="1"/>
  <c r="H18" i="30" s="1"/>
  <c r="E13" i="30"/>
  <c r="F13" i="30" s="1"/>
  <c r="G13" i="30" s="1"/>
  <c r="H13" i="30" s="1"/>
  <c r="E15" i="30"/>
  <c r="F15" i="30" s="1"/>
  <c r="G15" i="30" s="1"/>
  <c r="H15" i="30" s="1"/>
  <c r="E11" i="30"/>
  <c r="F11" i="30" s="1"/>
  <c r="G11" i="30" s="1"/>
  <c r="H11" i="30" s="1"/>
  <c r="E24" i="30"/>
  <c r="G58" i="22"/>
  <c r="C99" i="27" s="1"/>
  <c r="C93" i="27"/>
  <c r="C49" i="22"/>
  <c r="G52" i="22"/>
  <c r="I34" i="53" s="1"/>
  <c r="I38" i="53" s="1"/>
  <c r="R85" i="22"/>
  <c r="R11" i="53"/>
  <c r="C87" i="22"/>
  <c r="H4" i="30"/>
  <c r="F24" i="30" l="1"/>
  <c r="H16" i="30"/>
  <c r="I8" i="30" s="1" a="1"/>
  <c r="I8" i="30" s="1"/>
  <c r="I28" i="53"/>
  <c r="I21" i="53"/>
  <c r="D98" i="27" s="1"/>
  <c r="I36" i="53"/>
  <c r="J36" i="53" s="1"/>
  <c r="I7" i="30" a="1"/>
  <c r="I7" i="30" s="1"/>
  <c r="G24" i="30"/>
  <c r="N20" i="32" s="1"/>
  <c r="I9" i="30" a="1"/>
  <c r="I9" i="30" s="1"/>
  <c r="I11" i="30" a="1"/>
  <c r="I11" i="30" s="1"/>
  <c r="I22" i="30" a="1"/>
  <c r="I22" i="30" s="1"/>
  <c r="I14" i="30" a="1"/>
  <c r="I14" i="30" s="1"/>
  <c r="I12" i="30" a="1"/>
  <c r="I12" i="30" s="1"/>
  <c r="I10" i="30" a="1"/>
  <c r="I10" i="30" s="1"/>
  <c r="I16" i="30" a="1"/>
  <c r="I16" i="30" s="1"/>
  <c r="I15" i="30" a="1"/>
  <c r="I15" i="30" s="1"/>
  <c r="I20" i="30" a="1"/>
  <c r="I20" i="30" s="1"/>
  <c r="I21" i="30" a="1"/>
  <c r="I21" i="30" s="1"/>
  <c r="I23" i="30" a="1"/>
  <c r="I23" i="30" s="1"/>
  <c r="I19" i="30" a="1"/>
  <c r="I19" i="30" s="1"/>
  <c r="I18" i="30" a="1"/>
  <c r="I18" i="30" s="1"/>
  <c r="I4" i="30" a="1"/>
  <c r="I4" i="30" s="1"/>
  <c r="I13" i="30" a="1"/>
  <c r="I13" i="30" s="1"/>
  <c r="I17" i="30" a="1"/>
  <c r="I17" i="30" s="1"/>
  <c r="I6" i="30" a="1"/>
  <c r="I6" i="30" s="1"/>
  <c r="I13" i="53"/>
  <c r="C98" i="27"/>
  <c r="G54" i="22"/>
  <c r="I43" i="53"/>
  <c r="I45" i="53" s="1"/>
  <c r="F27" i="16"/>
  <c r="O22" i="16" s="1"/>
  <c r="O25" i="16" s="1"/>
  <c r="H19" i="16"/>
  <c r="P24" i="16" s="1"/>
  <c r="P25" i="16" s="1"/>
  <c r="I26" i="53"/>
  <c r="K20" i="32"/>
  <c r="E20" i="32"/>
  <c r="I5" i="30" a="1"/>
  <c r="I5" i="30" s="1"/>
  <c r="E98" i="27" l="1"/>
  <c r="E79" i="27"/>
  <c r="D99" i="27"/>
  <c r="E99" i="27" s="1"/>
  <c r="H20" i="32"/>
  <c r="Q20" i="32"/>
  <c r="G6" i="54"/>
  <c r="H6" i="54" s="1"/>
  <c r="C85" i="22"/>
  <c r="F7" i="16"/>
  <c r="G7" i="16" s="1"/>
  <c r="C9" i="53"/>
  <c r="G6" i="32"/>
  <c r="H6" i="32" s="1"/>
  <c r="R2" i="40"/>
  <c r="R4" i="40"/>
  <c r="C90" i="22"/>
  <c r="C92" i="22"/>
  <c r="C94" i="22"/>
  <c r="E25" i="16"/>
  <c r="N18" i="16" s="1"/>
  <c r="N25" i="16" s="1"/>
  <c r="I15" i="53"/>
  <c r="R7" i="40"/>
  <c r="R50" i="40" l="1"/>
  <c r="R40" i="40"/>
  <c r="R24" i="40"/>
  <c r="R45" i="40"/>
  <c r="R31" i="40"/>
  <c r="R33" i="40"/>
  <c r="R15" i="40"/>
  <c r="R19" i="40"/>
  <c r="R38" i="40"/>
  <c r="R48" i="40"/>
  <c r="R11" i="40"/>
  <c r="R9" i="40"/>
  <c r="R42" i="40"/>
  <c r="R43" i="40"/>
  <c r="R22" i="40"/>
  <c r="R26" i="40"/>
  <c r="R17" i="40"/>
  <c r="R28" i="40"/>
  <c r="R13" i="40"/>
  <c r="R35" i="40"/>
  <c r="R52" i="4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David Sayers</author>
  </authors>
  <commentList>
    <comment ref="E15" authorId="0" shapeId="0" xr:uid="{00000000-0006-0000-0100-000001000000}">
      <text>
        <r>
          <rPr>
            <b/>
            <sz val="8"/>
            <color indexed="81"/>
            <rFont val="Tahoma"/>
            <family val="2"/>
          </rPr>
          <t>n/a (not applicable).</t>
        </r>
        <r>
          <rPr>
            <sz val="8"/>
            <color indexed="81"/>
            <rFont val="Tahoma"/>
            <family val="2"/>
          </rPr>
          <t xml:space="preserve"> Select this grading only if the water utility purchases/imports all of its water resources (i.e. has no sources of its own)
</t>
        </r>
        <r>
          <rPr>
            <b/>
            <sz val="8"/>
            <color indexed="10"/>
            <rFont val="Tahoma"/>
            <family val="2"/>
          </rPr>
          <t>1.</t>
        </r>
        <r>
          <rPr>
            <sz val="8"/>
            <color indexed="10"/>
            <rFont val="Tahoma"/>
            <family val="2"/>
          </rPr>
          <t xml:space="preserve"> Less than 25% of water production sources are metered, remaining sources are estimated.  No regular meter accuracy testing or electronic calibration conducted.</t>
        </r>
        <r>
          <rPr>
            <sz val="8"/>
            <color indexed="81"/>
            <rFont val="Tahoma"/>
            <family val="2"/>
          </rPr>
          <t xml:space="preserve">
</t>
        </r>
        <r>
          <rPr>
            <b/>
            <sz val="8"/>
            <color indexed="53"/>
            <rFont val="Tahoma"/>
            <family val="2"/>
          </rPr>
          <t>2.</t>
        </r>
        <r>
          <rPr>
            <sz val="8"/>
            <color indexed="53"/>
            <rFont val="Tahoma"/>
            <family val="2"/>
          </rPr>
          <t xml:space="preserve"> 25% - 50% of treated water production sources are metered; other sources estimated.  No regular meter accuracy testing or electronic calibration conducted. </t>
        </r>
        <r>
          <rPr>
            <sz val="8"/>
            <color indexed="81"/>
            <rFont val="Tahoma"/>
            <family val="2"/>
          </rPr>
          <t xml:space="preserve">
</t>
        </r>
        <r>
          <rPr>
            <b/>
            <sz val="8"/>
            <color indexed="81"/>
            <rFont val="Tahoma"/>
            <family val="2"/>
          </rPr>
          <t xml:space="preserve">3. </t>
        </r>
        <r>
          <rPr>
            <sz val="8"/>
            <color indexed="81"/>
            <rFont val="Tahoma"/>
            <family val="2"/>
          </rPr>
          <t xml:space="preserve">Conditions between 2 and 4
</t>
        </r>
        <r>
          <rPr>
            <b/>
            <sz val="8"/>
            <color indexed="20"/>
            <rFont val="Tahoma"/>
            <family val="2"/>
          </rPr>
          <t>4.</t>
        </r>
        <r>
          <rPr>
            <sz val="8"/>
            <color indexed="20"/>
            <rFont val="Tahoma"/>
            <family val="2"/>
          </rPr>
          <t xml:space="preserve"> 50% - 75% of treated water production sources are metered, other sources estimated.  Occasional meter accuracy testing or electronic calibration conducted.</t>
        </r>
        <r>
          <rPr>
            <sz val="8"/>
            <color indexed="81"/>
            <rFont val="Tahoma"/>
            <family val="2"/>
          </rPr>
          <t xml:space="preserve">
</t>
        </r>
        <r>
          <rPr>
            <b/>
            <sz val="8"/>
            <color indexed="81"/>
            <rFont val="Tahoma"/>
            <family val="2"/>
          </rPr>
          <t>5.</t>
        </r>
        <r>
          <rPr>
            <sz val="8"/>
            <color indexed="81"/>
            <rFont val="Tahoma"/>
            <family val="2"/>
          </rPr>
          <t xml:space="preserve"> Conditions between 4 and 6
</t>
        </r>
        <r>
          <rPr>
            <b/>
            <sz val="8"/>
            <color indexed="62"/>
            <rFont val="Tahoma"/>
            <family val="2"/>
          </rPr>
          <t>6.</t>
        </r>
        <r>
          <rPr>
            <sz val="8"/>
            <color indexed="62"/>
            <rFont val="Tahoma"/>
            <family val="2"/>
          </rPr>
          <t xml:space="preserve"> At least 75% of treated water production sources are metered, or at least 90% of the source flow is derived from metered sources.  Meter accuracy testing and/or electronic calibration of related instrumentation is conducted annually.  Less than 25% of tested meters are found outside of +/- 6% accuracy.  </t>
        </r>
        <r>
          <rPr>
            <sz val="8"/>
            <color indexed="81"/>
            <rFont val="Tahoma"/>
            <family val="2"/>
          </rPr>
          <t xml:space="preserve">
</t>
        </r>
        <r>
          <rPr>
            <b/>
            <sz val="8"/>
            <color indexed="81"/>
            <rFont val="Tahoma"/>
            <family val="2"/>
          </rPr>
          <t>7.</t>
        </r>
        <r>
          <rPr>
            <sz val="8"/>
            <color indexed="81"/>
            <rFont val="Tahoma"/>
            <family val="2"/>
          </rPr>
          <t xml:space="preserve"> Conditions between 6 and 8
</t>
        </r>
        <r>
          <rPr>
            <b/>
            <sz val="8"/>
            <color indexed="12"/>
            <rFont val="Tahoma"/>
            <family val="2"/>
          </rPr>
          <t>8.</t>
        </r>
        <r>
          <rPr>
            <sz val="8"/>
            <color indexed="12"/>
            <rFont val="Tahoma"/>
            <family val="2"/>
          </rPr>
          <t xml:space="preserve"> 100% of treated water production sources are metered, meter accuracy testing and electronic calibration of related instrumentation is conducted annually, less than 10% of meters are found outside of +/- 6% accuracy
</t>
        </r>
        <r>
          <rPr>
            <b/>
            <sz val="8"/>
            <color indexed="12"/>
            <rFont val="Tahoma"/>
            <family val="2"/>
          </rPr>
          <t>9.</t>
        </r>
        <r>
          <rPr>
            <sz val="8"/>
            <color indexed="12"/>
            <rFont val="Tahoma"/>
            <family val="2"/>
          </rPr>
          <t xml:space="preserve"> Conditions between 8 and 10</t>
        </r>
        <r>
          <rPr>
            <sz val="8"/>
            <color indexed="81"/>
            <rFont val="Tahoma"/>
            <family val="2"/>
          </rPr>
          <t xml:space="preserve">
</t>
        </r>
        <r>
          <rPr>
            <b/>
            <sz val="8"/>
            <color indexed="17"/>
            <rFont val="Tahoma"/>
            <family val="2"/>
          </rPr>
          <t>10.</t>
        </r>
        <r>
          <rPr>
            <sz val="8"/>
            <color indexed="17"/>
            <rFont val="Tahoma"/>
            <family val="2"/>
          </rPr>
          <t xml:space="preserve"> 100% of treated water production sources are metered, meter accuracy testing and electronic calibration of related instrumentation is conducted semi-annually, with less than 10% found outside of +/- 3% accuracy.  Procedures are reviewed by a third party knowledgeable in the M36 methodology.    </t>
        </r>
      </text>
    </comment>
    <comment ref="J15" authorId="0" shapeId="0" xr:uid="{00000000-0006-0000-0100-000002000000}">
      <text>
        <r>
          <rPr>
            <b/>
            <sz val="8"/>
            <color indexed="81"/>
            <rFont val="Tahoma"/>
            <family val="2"/>
          </rPr>
          <t xml:space="preserve">n/a (not applicable). </t>
        </r>
        <r>
          <rPr>
            <sz val="8"/>
            <color indexed="81"/>
            <rFont val="Tahoma"/>
            <family val="2"/>
          </rPr>
          <t xml:space="preserve">Select n/a only if the water utility fails to have meters on its sources of supply 
</t>
        </r>
        <r>
          <rPr>
            <b/>
            <sz val="8"/>
            <color indexed="10"/>
            <rFont val="Tahoma"/>
            <family val="2"/>
          </rPr>
          <t>1.</t>
        </r>
        <r>
          <rPr>
            <sz val="8"/>
            <color indexed="10"/>
            <rFont val="Tahoma"/>
            <family val="2"/>
          </rPr>
          <t xml:space="preserve"> Inventory information on meters and paper records of measured volumes exist but are incomplete and/or in a very crude condition; data error cannot be determined.</t>
        </r>
        <r>
          <rPr>
            <sz val="8"/>
            <color indexed="81"/>
            <rFont val="Tahoma"/>
            <family val="2"/>
          </rPr>
          <t xml:space="preserve">
</t>
        </r>
        <r>
          <rPr>
            <b/>
            <sz val="8"/>
            <color indexed="53"/>
            <rFont val="Tahoma"/>
            <family val="2"/>
          </rPr>
          <t>2.</t>
        </r>
        <r>
          <rPr>
            <sz val="8"/>
            <color indexed="53"/>
            <rFont val="Tahoma"/>
            <family val="2"/>
          </rPr>
          <t xml:space="preserve"> No automatic datalogging of production volumes; daily readings are scribed on paper records without any accountability controls.  Flows are not balanced across the water distribution system: tank/storage elevation changes are not employed in calculating the "Volume from own sources" component and archived flow data is adjusted only when grossly evident data error occurs.</t>
        </r>
        <r>
          <rPr>
            <sz val="8"/>
            <color indexed="81"/>
            <rFont val="Tahoma"/>
            <family val="2"/>
          </rPr>
          <t xml:space="preserve">
</t>
        </r>
        <r>
          <rPr>
            <b/>
            <sz val="8"/>
            <color indexed="81"/>
            <rFont val="Tahoma"/>
            <family val="2"/>
          </rPr>
          <t>3.</t>
        </r>
        <r>
          <rPr>
            <sz val="8"/>
            <color indexed="81"/>
            <rFont val="Tahoma"/>
            <family val="2"/>
          </rPr>
          <t xml:space="preserve"> Conditions between 2 and 4
</t>
        </r>
        <r>
          <rPr>
            <b/>
            <sz val="8"/>
            <color indexed="20"/>
            <rFont val="Tahoma"/>
            <family val="2"/>
          </rPr>
          <t>4.</t>
        </r>
        <r>
          <rPr>
            <sz val="8"/>
            <color indexed="20"/>
            <rFont val="Tahoma"/>
            <family val="2"/>
          </rPr>
          <t xml:space="preserve"> Production meter data is logged automatically in electronic format and reviewed at least on a monthly basis with necessary corrections implemented.  "Volume from own sources" tabulations include estimate of daily changes in tanks/storage facilities.  Meter data is adjusted when gross data errors occur, or occasional meter testing deems this necessary.</t>
        </r>
        <r>
          <rPr>
            <sz val="8"/>
            <color indexed="81"/>
            <rFont val="Tahoma"/>
            <family val="2"/>
          </rPr>
          <t xml:space="preserve">
</t>
        </r>
        <r>
          <rPr>
            <b/>
            <sz val="8"/>
            <color indexed="81"/>
            <rFont val="Tahoma"/>
            <family val="2"/>
          </rPr>
          <t>5.</t>
        </r>
        <r>
          <rPr>
            <sz val="8"/>
            <color indexed="81"/>
            <rFont val="Tahoma"/>
            <family val="2"/>
          </rPr>
          <t xml:space="preserve"> Conditions between 4 and 6
</t>
        </r>
        <r>
          <rPr>
            <b/>
            <sz val="8"/>
            <color indexed="62"/>
            <rFont val="Tahoma"/>
            <family val="2"/>
          </rPr>
          <t>6.</t>
        </r>
        <r>
          <rPr>
            <sz val="8"/>
            <color indexed="62"/>
            <rFont val="Tahoma"/>
            <family val="2"/>
          </rPr>
          <t xml:space="preserve"> Hourly production meter data logged automatically &amp; reviewed on at least a weekly basis.  Data is adjusted to correct gross error when meter/instrumentation equipment malfunction is detected; and/or error is confirmed by meter accuracy testing.  Tank/storage facility elevation changes are automatically used in calculating a balanced "Volume from own sources" component, and data gaps in the archived data are corrected on at least a weekly basis.  </t>
        </r>
        <r>
          <rPr>
            <sz val="8"/>
            <color indexed="81"/>
            <rFont val="Tahoma"/>
            <family val="2"/>
          </rPr>
          <t xml:space="preserve">
</t>
        </r>
        <r>
          <rPr>
            <b/>
            <sz val="8"/>
            <color indexed="81"/>
            <rFont val="Tahoma"/>
            <family val="2"/>
          </rPr>
          <t>7.</t>
        </r>
        <r>
          <rPr>
            <sz val="8"/>
            <color indexed="81"/>
            <rFont val="Tahoma"/>
            <family val="2"/>
          </rPr>
          <t xml:space="preserve"> Conditions between 6 and 8
</t>
        </r>
        <r>
          <rPr>
            <b/>
            <sz val="8"/>
            <color indexed="12"/>
            <rFont val="Tahoma"/>
            <family val="2"/>
          </rPr>
          <t>8.</t>
        </r>
        <r>
          <rPr>
            <sz val="8"/>
            <color indexed="12"/>
            <rFont val="Tahoma"/>
            <family val="2"/>
          </rPr>
          <t xml:space="preserve"> Continuous production meter data is logged automatically &amp; reviewed each business day.  Data is adjusted to correct gross error from detected meter/instrumentation equipment malfunction and/or results of meter accuracy testing.  Tank/storage facility elevation changes are automatically used in "Volume from own sources" tabulations and data gaps in the archived data are corrected on a daily basis.</t>
        </r>
        <r>
          <rPr>
            <sz val="8"/>
            <color indexed="81"/>
            <rFont val="Tahoma"/>
            <family val="2"/>
          </rPr>
          <t xml:space="preserve">
</t>
        </r>
        <r>
          <rPr>
            <b/>
            <sz val="8"/>
            <color indexed="81"/>
            <rFont val="Tahoma"/>
            <family val="2"/>
          </rPr>
          <t>9.</t>
        </r>
        <r>
          <rPr>
            <sz val="8"/>
            <color indexed="81"/>
            <rFont val="Tahoma"/>
            <family val="2"/>
          </rPr>
          <t xml:space="preserve"> Conditions between 8 and 10
</t>
        </r>
        <r>
          <rPr>
            <b/>
            <sz val="8"/>
            <color indexed="17"/>
            <rFont val="Tahoma"/>
            <family val="2"/>
          </rPr>
          <t>10.</t>
        </r>
        <r>
          <rPr>
            <sz val="8"/>
            <color indexed="17"/>
            <rFont val="Tahoma"/>
            <family val="2"/>
          </rPr>
          <t xml:space="preserve"> Computerized system (SCADA or similar) automatically balances flows from all sources and storages; results are reviewed each business day.  Tight accountability controls ensure that all data gaps that occur in the archived flow data are quickly detected and corrected. Regular calibrations between SCADA and sources meters ensures minimal data transfer error.  </t>
        </r>
      </text>
    </comment>
    <comment ref="E16" authorId="0" shapeId="0" xr:uid="{00000000-0006-0000-0100-000003000000}">
      <text>
        <r>
          <rPr>
            <b/>
            <sz val="8"/>
            <color indexed="81"/>
            <rFont val="Tahoma"/>
            <family val="2"/>
          </rPr>
          <t>n/a (not applicable).</t>
        </r>
        <r>
          <rPr>
            <sz val="8"/>
            <color indexed="81"/>
            <rFont val="Tahoma"/>
            <family val="2"/>
          </rPr>
          <t xml:space="preserve"> Select n/a if the water utility's supply is exclusively from its own water resources (no bulk purchased/ imported water)
</t>
        </r>
        <r>
          <rPr>
            <b/>
            <sz val="8"/>
            <color indexed="10"/>
            <rFont val="Tahoma"/>
            <family val="2"/>
          </rPr>
          <t>1.</t>
        </r>
        <r>
          <rPr>
            <sz val="8"/>
            <color indexed="10"/>
            <rFont val="Tahoma"/>
            <family val="2"/>
          </rPr>
          <t xml:space="preserve"> Less than 25% of imported water sources are metered, remaining sources are estimated.  No regular meter accuracy testing.</t>
        </r>
        <r>
          <rPr>
            <sz val="8"/>
            <color indexed="81"/>
            <rFont val="Tahoma"/>
            <family val="2"/>
          </rPr>
          <t xml:space="preserve">
</t>
        </r>
        <r>
          <rPr>
            <b/>
            <sz val="8"/>
            <color indexed="53"/>
            <rFont val="Tahoma"/>
            <family val="2"/>
          </rPr>
          <t>2.</t>
        </r>
        <r>
          <rPr>
            <sz val="8"/>
            <color indexed="53"/>
            <rFont val="Tahoma"/>
            <family val="2"/>
          </rPr>
          <t xml:space="preserve"> 25% - 50% of imported water sources are metered; other sources estimated.  No regular meter accuracy testing. </t>
        </r>
        <r>
          <rPr>
            <sz val="8"/>
            <color indexed="81"/>
            <rFont val="Tahoma"/>
            <family val="2"/>
          </rPr>
          <t xml:space="preserve">
</t>
        </r>
        <r>
          <rPr>
            <b/>
            <sz val="8"/>
            <color indexed="81"/>
            <rFont val="Tahoma"/>
            <family val="2"/>
          </rPr>
          <t>3.</t>
        </r>
        <r>
          <rPr>
            <sz val="8"/>
            <color indexed="81"/>
            <rFont val="Tahoma"/>
            <family val="2"/>
          </rPr>
          <t xml:space="preserve"> Conditions between 2 and 4
</t>
        </r>
        <r>
          <rPr>
            <b/>
            <sz val="8"/>
            <color indexed="20"/>
            <rFont val="Tahoma"/>
            <family val="2"/>
          </rPr>
          <t xml:space="preserve">4. </t>
        </r>
        <r>
          <rPr>
            <sz val="8"/>
            <color indexed="20"/>
            <rFont val="Tahoma"/>
            <family val="2"/>
          </rPr>
          <t>50% - 75% of imported water sources are metered, other sources estimated.  Occasional meter accuracy testing conducted.</t>
        </r>
        <r>
          <rPr>
            <sz val="8"/>
            <color indexed="81"/>
            <rFont val="Tahoma"/>
            <family val="2"/>
          </rPr>
          <t xml:space="preserve">
</t>
        </r>
        <r>
          <rPr>
            <b/>
            <sz val="8"/>
            <color indexed="81"/>
            <rFont val="Tahoma"/>
            <family val="2"/>
          </rPr>
          <t>5.</t>
        </r>
        <r>
          <rPr>
            <sz val="8"/>
            <color indexed="81"/>
            <rFont val="Tahoma"/>
            <family val="2"/>
          </rPr>
          <t xml:space="preserve"> Conditions between 4 and 6
</t>
        </r>
        <r>
          <rPr>
            <b/>
            <sz val="8"/>
            <color indexed="62"/>
            <rFont val="Tahoma"/>
            <family val="2"/>
          </rPr>
          <t>6.</t>
        </r>
        <r>
          <rPr>
            <sz val="8"/>
            <color indexed="62"/>
            <rFont val="Tahoma"/>
            <family val="2"/>
          </rPr>
          <t xml:space="preserve"> At least 75% of imported water sources are metered, meter accuracy testing and/or electronic calibration of related instrumentation is conducted annually for all meter installations.  Less than 25% of tested meters are found outside of +/- 6% accuracy.  </t>
        </r>
        <r>
          <rPr>
            <sz val="8"/>
            <color indexed="81"/>
            <rFont val="Tahoma"/>
            <family val="2"/>
          </rPr>
          <t xml:space="preserve">
</t>
        </r>
        <r>
          <rPr>
            <b/>
            <sz val="8"/>
            <color indexed="81"/>
            <rFont val="Tahoma"/>
            <family val="2"/>
          </rPr>
          <t>7.</t>
        </r>
        <r>
          <rPr>
            <sz val="8"/>
            <color indexed="81"/>
            <rFont val="Tahoma"/>
            <family val="2"/>
          </rPr>
          <t xml:space="preserve"> Conditions between 6 and 8
</t>
        </r>
        <r>
          <rPr>
            <b/>
            <sz val="8"/>
            <color indexed="12"/>
            <rFont val="Tahoma"/>
            <family val="2"/>
          </rPr>
          <t>8.</t>
        </r>
        <r>
          <rPr>
            <sz val="8"/>
            <color indexed="12"/>
            <rFont val="Tahoma"/>
            <family val="2"/>
          </rPr>
          <t xml:space="preserve"> 100% of imported water sources are metered, meter accuracy testing and electronic calibration of related instrumentation is conducted annually, less than 10% of meters are found outside of +/- 6% accuracy.</t>
        </r>
        <r>
          <rPr>
            <sz val="8"/>
            <color indexed="81"/>
            <rFont val="Tahoma"/>
            <family val="2"/>
          </rPr>
          <t xml:space="preserve">
</t>
        </r>
        <r>
          <rPr>
            <b/>
            <sz val="8"/>
            <color indexed="81"/>
            <rFont val="Tahoma"/>
            <family val="2"/>
          </rPr>
          <t>9.</t>
        </r>
        <r>
          <rPr>
            <sz val="8"/>
            <color indexed="81"/>
            <rFont val="Tahoma"/>
            <family val="2"/>
          </rPr>
          <t xml:space="preserve"> Conditions between 8 and 10
</t>
        </r>
        <r>
          <rPr>
            <b/>
            <sz val="8"/>
            <color indexed="17"/>
            <rFont val="Tahoma"/>
            <family val="2"/>
          </rPr>
          <t xml:space="preserve">10. </t>
        </r>
        <r>
          <rPr>
            <sz val="8"/>
            <color indexed="17"/>
            <rFont val="Tahoma"/>
            <family val="2"/>
          </rPr>
          <t>100% of imported water sources are metered, meter accuracy testing and electronic calibration of related instrumentation is conducted semi-annually for all meter installations, with less than 10% of accuracy tests found outside of +/- 3% accuracy.</t>
        </r>
        <r>
          <rPr>
            <sz val="8"/>
            <color indexed="81"/>
            <rFont val="Tahoma"/>
            <family val="2"/>
          </rPr>
          <t xml:space="preserve">     </t>
        </r>
      </text>
    </comment>
    <comment ref="J16" authorId="0" shapeId="0" xr:uid="{00000000-0006-0000-0100-000004000000}">
      <text>
        <r>
          <rPr>
            <b/>
            <sz val="8"/>
            <color indexed="81"/>
            <rFont val="Tahoma"/>
            <family val="2"/>
          </rPr>
          <t>n/a (not applicable).</t>
        </r>
        <r>
          <rPr>
            <sz val="8"/>
            <color indexed="81"/>
            <rFont val="Tahoma"/>
            <family val="2"/>
          </rPr>
          <t xml:space="preserve"> Select n/a if the Imported water supply is unmetered, with Imported water quantities estimated on the billing invoices sent by the Exporter to the purchasing Utility. 
</t>
        </r>
        <r>
          <rPr>
            <b/>
            <sz val="8"/>
            <color indexed="10"/>
            <rFont val="Tahoma"/>
            <family val="2"/>
          </rPr>
          <t>1.</t>
        </r>
        <r>
          <rPr>
            <sz val="8"/>
            <color indexed="10"/>
            <rFont val="Tahoma"/>
            <family val="2"/>
          </rPr>
          <t xml:space="preserve"> Inventory information on imported meters and paper records of measured volumes exist but are incomplete and/or in a very crude condition; data error cannot be determined   Written agreement(s) with water Exporter(s) are missing or written in vague language concerning meter management and testing. </t>
        </r>
        <r>
          <rPr>
            <sz val="8"/>
            <color indexed="81"/>
            <rFont val="Tahoma"/>
            <family val="2"/>
          </rPr>
          <t xml:space="preserve">
</t>
        </r>
        <r>
          <rPr>
            <b/>
            <sz val="8"/>
            <color indexed="53"/>
            <rFont val="Tahoma"/>
            <family val="2"/>
          </rPr>
          <t>2.</t>
        </r>
        <r>
          <rPr>
            <sz val="8"/>
            <color indexed="53"/>
            <rFont val="Tahoma"/>
            <family val="2"/>
          </rPr>
          <t xml:space="preserve"> No automatic datalogging of imported supply volumes; daily readings are scribed on paper records without any accountability controls to confirm data accuracy and the absence of errors and data gaps in recorded volumes.  Written agreement requires meter accuracy testing but is vague on the details of how and who conducts the testing.</t>
        </r>
        <r>
          <rPr>
            <sz val="8"/>
            <color indexed="81"/>
            <rFont val="Tahoma"/>
            <family val="2"/>
          </rPr>
          <t xml:space="preserve">
</t>
        </r>
        <r>
          <rPr>
            <b/>
            <sz val="8"/>
            <color indexed="81"/>
            <rFont val="Tahoma"/>
            <family val="2"/>
          </rPr>
          <t>3.</t>
        </r>
        <r>
          <rPr>
            <sz val="8"/>
            <color indexed="81"/>
            <rFont val="Tahoma"/>
            <family val="2"/>
          </rPr>
          <t xml:space="preserve"> Conditions between 2 and 4
</t>
        </r>
        <r>
          <rPr>
            <b/>
            <sz val="8"/>
            <color indexed="20"/>
            <rFont val="Tahoma"/>
            <family val="2"/>
          </rPr>
          <t>4.</t>
        </r>
        <r>
          <rPr>
            <sz val="8"/>
            <color indexed="20"/>
            <rFont val="Tahoma"/>
            <family val="2"/>
          </rPr>
          <t xml:space="preserve"> Imported supply metered flow data is logged automatically in electronic format and reviewed at least on a monthly basis by the Exporter with necessary corrections implemented.  Meter data is adjusted by the Exporter when gross data errors are detected.  A coherent data trail exists for this process to protect both the selling and the purchasing Utility.  Written agreement exists and clearly states requirements and roles for meter accuracy testing and data management. </t>
        </r>
        <r>
          <rPr>
            <sz val="8"/>
            <color indexed="81"/>
            <rFont val="Tahoma"/>
            <family val="2"/>
          </rPr>
          <t xml:space="preserve">
</t>
        </r>
        <r>
          <rPr>
            <b/>
            <sz val="8"/>
            <color indexed="81"/>
            <rFont val="Tahoma"/>
            <family val="2"/>
          </rPr>
          <t>5.</t>
        </r>
        <r>
          <rPr>
            <sz val="8"/>
            <color indexed="81"/>
            <rFont val="Tahoma"/>
            <family val="2"/>
          </rPr>
          <t xml:space="preserve"> Conditions between 4 and 6
</t>
        </r>
        <r>
          <rPr>
            <b/>
            <sz val="8"/>
            <color indexed="62"/>
            <rFont val="Tahoma"/>
            <family val="2"/>
          </rPr>
          <t>6.</t>
        </r>
        <r>
          <rPr>
            <sz val="8"/>
            <color indexed="62"/>
            <rFont val="Tahoma"/>
            <family val="2"/>
          </rPr>
          <t xml:space="preserve"> Hourly Imported supply metered data is logged automatically &amp; reviewed on at least a weekly basis by the Exporter.  Data is adjusted to correct gross error when meter/instrumentation equipment malfunction is detected; and to correct for error confirmed by meter accuracy testing.  Any data gaps in the archived data are detected and corrected during the weekly review.  A coherent data trail exists for this process to protect both the selling and the purchasing Utility. </t>
        </r>
        <r>
          <rPr>
            <sz val="8"/>
            <color indexed="81"/>
            <rFont val="Tahoma"/>
            <family val="2"/>
          </rPr>
          <t xml:space="preserve">   
</t>
        </r>
        <r>
          <rPr>
            <b/>
            <sz val="8"/>
            <color indexed="81"/>
            <rFont val="Tahoma"/>
            <family val="2"/>
          </rPr>
          <t>7.</t>
        </r>
        <r>
          <rPr>
            <sz val="8"/>
            <color indexed="81"/>
            <rFont val="Tahoma"/>
            <family val="2"/>
          </rPr>
          <t xml:space="preserve"> Conditions between 6 and 8
</t>
        </r>
        <r>
          <rPr>
            <b/>
            <sz val="8"/>
            <color indexed="12"/>
            <rFont val="Tahoma"/>
            <family val="2"/>
          </rPr>
          <t>8.</t>
        </r>
        <r>
          <rPr>
            <sz val="8"/>
            <color indexed="12"/>
            <rFont val="Tahoma"/>
            <family val="2"/>
          </rPr>
          <t xml:space="preserve"> Continuous Imported supply metered flow data is logged automatically &amp; reviewed each business day by the Exporter.  Data is adjusted to correct gross error from detected meter/instrumentation equipment malfunction and/or results of meter accuracy testing.  Any data errors/gaps are detected and corrected on a daily basis.  A data trail exists for the process to protect both the selling and the purchasing Utility.</t>
        </r>
        <r>
          <rPr>
            <sz val="8"/>
            <color indexed="81"/>
            <rFont val="Tahoma"/>
            <family val="2"/>
          </rPr>
          <t xml:space="preserve">
</t>
        </r>
        <r>
          <rPr>
            <b/>
            <sz val="8"/>
            <color indexed="81"/>
            <rFont val="Tahoma"/>
            <family val="2"/>
          </rPr>
          <t>9.</t>
        </r>
        <r>
          <rPr>
            <sz val="8"/>
            <color indexed="81"/>
            <rFont val="Tahoma"/>
            <family val="2"/>
          </rPr>
          <t xml:space="preserve"> Conditions between 8 and 10
</t>
        </r>
        <r>
          <rPr>
            <b/>
            <sz val="8"/>
            <color indexed="17"/>
            <rFont val="Tahoma"/>
            <family val="2"/>
          </rPr>
          <t xml:space="preserve">10. </t>
        </r>
        <r>
          <rPr>
            <sz val="8"/>
            <color indexed="17"/>
            <rFont val="Tahoma"/>
            <family val="2"/>
          </rPr>
          <t>Computerized system (SCADA or similar) automatically records data which is reviewed each business day by the Exporter.  Tight accountability controls ensure that all error/data gaps that occur in the archived flow data are quickly detected and corrected.  A reliable data trail exists and contract provisions for meter testing and data management are reviewed by the selling and purchasing Utility at least once every five years.</t>
        </r>
        <r>
          <rPr>
            <sz val="8"/>
            <color indexed="81"/>
            <rFont val="Tahoma"/>
            <family val="2"/>
          </rPr>
          <t xml:space="preserve">  </t>
        </r>
      </text>
    </comment>
    <comment ref="E17" authorId="0" shapeId="0" xr:uid="{00000000-0006-0000-0100-000005000000}">
      <text>
        <r>
          <rPr>
            <b/>
            <sz val="8"/>
            <color indexed="81"/>
            <rFont val="Tahoma"/>
            <family val="2"/>
          </rPr>
          <t>n/a (not applicable).</t>
        </r>
        <r>
          <rPr>
            <sz val="8"/>
            <color indexed="81"/>
            <rFont val="Tahoma"/>
            <family val="2"/>
          </rPr>
          <t xml:space="preserve"> Select n/a if the water utility sells no bulk water to neighboring water utilities (no exported water sales)
</t>
        </r>
        <r>
          <rPr>
            <b/>
            <sz val="8"/>
            <color indexed="10"/>
            <rFont val="Tahoma"/>
            <family val="2"/>
          </rPr>
          <t>1.</t>
        </r>
        <r>
          <rPr>
            <sz val="8"/>
            <color indexed="10"/>
            <rFont val="Tahoma"/>
            <family val="2"/>
          </rPr>
          <t xml:space="preserve"> Less than 25% of exported water sources are metered, remaining sources are estimated.  No regular meter accuracy testing.</t>
        </r>
        <r>
          <rPr>
            <sz val="8"/>
            <color indexed="81"/>
            <rFont val="Tahoma"/>
            <family val="2"/>
          </rPr>
          <t xml:space="preserve">
</t>
        </r>
        <r>
          <rPr>
            <b/>
            <sz val="8"/>
            <color indexed="53"/>
            <rFont val="Tahoma"/>
            <family val="2"/>
          </rPr>
          <t>2.</t>
        </r>
        <r>
          <rPr>
            <sz val="8"/>
            <color indexed="53"/>
            <rFont val="Tahoma"/>
            <family val="2"/>
          </rPr>
          <t xml:space="preserve"> 25% - 50% of exported water sources are metered; other sources estimated.  No regular meter accuracy testing. 
</t>
        </r>
        <r>
          <rPr>
            <b/>
            <sz val="8"/>
            <color indexed="81"/>
            <rFont val="Tahoma"/>
            <family val="2"/>
          </rPr>
          <t>3.</t>
        </r>
        <r>
          <rPr>
            <sz val="8"/>
            <color indexed="81"/>
            <rFont val="Tahoma"/>
            <family val="2"/>
          </rPr>
          <t xml:space="preserve"> Conditions between 2 and 4
</t>
        </r>
        <r>
          <rPr>
            <b/>
            <sz val="8"/>
            <color indexed="20"/>
            <rFont val="Tahoma"/>
            <family val="2"/>
          </rPr>
          <t>4.</t>
        </r>
        <r>
          <rPr>
            <sz val="8"/>
            <color indexed="20"/>
            <rFont val="Tahoma"/>
            <family val="2"/>
          </rPr>
          <t xml:space="preserve"> 50% - 75% of exported water sources are metered, other sources estimated.  Occasional meter accuracy testing conducted.</t>
        </r>
        <r>
          <rPr>
            <sz val="8"/>
            <color indexed="81"/>
            <rFont val="Tahoma"/>
            <family val="2"/>
          </rPr>
          <t xml:space="preserve">
</t>
        </r>
        <r>
          <rPr>
            <b/>
            <sz val="8"/>
            <color indexed="81"/>
            <rFont val="Tahoma"/>
            <family val="2"/>
          </rPr>
          <t>5.</t>
        </r>
        <r>
          <rPr>
            <sz val="8"/>
            <color indexed="81"/>
            <rFont val="Tahoma"/>
            <family val="2"/>
          </rPr>
          <t xml:space="preserve"> Conditions between 4 and 6
</t>
        </r>
        <r>
          <rPr>
            <b/>
            <sz val="8"/>
            <color indexed="62"/>
            <rFont val="Tahoma"/>
            <family val="2"/>
          </rPr>
          <t>6.</t>
        </r>
        <r>
          <rPr>
            <sz val="8"/>
            <color indexed="62"/>
            <rFont val="Tahoma"/>
            <family val="2"/>
          </rPr>
          <t xml:space="preserve"> At least 75% of exported water sources are metered, meter accuracy testing and/or electronic calibration conducted annually.  Less than 25% of tested meters are found outside of +/- 6% accuracy.  </t>
        </r>
        <r>
          <rPr>
            <sz val="8"/>
            <color indexed="81"/>
            <rFont val="Tahoma"/>
            <family val="2"/>
          </rPr>
          <t xml:space="preserve">
</t>
        </r>
        <r>
          <rPr>
            <b/>
            <sz val="8"/>
            <color indexed="81"/>
            <rFont val="Tahoma"/>
            <family val="2"/>
          </rPr>
          <t>7.</t>
        </r>
        <r>
          <rPr>
            <sz val="8"/>
            <color indexed="81"/>
            <rFont val="Tahoma"/>
            <family val="2"/>
          </rPr>
          <t xml:space="preserve"> Conditions between 6 and 8
</t>
        </r>
        <r>
          <rPr>
            <b/>
            <sz val="8"/>
            <color indexed="12"/>
            <rFont val="Tahoma"/>
            <family val="2"/>
          </rPr>
          <t>8.</t>
        </r>
        <r>
          <rPr>
            <sz val="8"/>
            <color indexed="12"/>
            <rFont val="Tahoma"/>
            <family val="2"/>
          </rPr>
          <t xml:space="preserve"> 100% of exported water sources are metered, meter accuracy testing and electronic calibration of related instrumentation is conducted annually, less than 10% of meters are found outside of +/- 6% accuracy.</t>
        </r>
        <r>
          <rPr>
            <sz val="8"/>
            <color indexed="81"/>
            <rFont val="Tahoma"/>
            <family val="2"/>
          </rPr>
          <t xml:space="preserve">
</t>
        </r>
        <r>
          <rPr>
            <b/>
            <sz val="8"/>
            <color indexed="81"/>
            <rFont val="Tahoma"/>
            <family val="2"/>
          </rPr>
          <t>9.</t>
        </r>
        <r>
          <rPr>
            <sz val="8"/>
            <color indexed="81"/>
            <rFont val="Tahoma"/>
            <family val="2"/>
          </rPr>
          <t xml:space="preserve"> Conditions between 8 and 10
</t>
        </r>
        <r>
          <rPr>
            <b/>
            <sz val="8"/>
            <color indexed="17"/>
            <rFont val="Tahoma"/>
            <family val="2"/>
          </rPr>
          <t>10.</t>
        </r>
        <r>
          <rPr>
            <sz val="8"/>
            <color indexed="17"/>
            <rFont val="Tahoma"/>
            <family val="2"/>
          </rPr>
          <t xml:space="preserve"> 100% of exported water sources are metered, meter accuracy testing and electronic calibration of related instrumentation is conducted semi-annually for all meter installations, with less than 10% of accuracy tests found outside of +/- 3% accuracy.</t>
        </r>
      </text>
    </comment>
    <comment ref="J17" authorId="0" shapeId="0" xr:uid="{00000000-0006-0000-0100-000006000000}">
      <text>
        <r>
          <rPr>
            <b/>
            <sz val="8"/>
            <color indexed="81"/>
            <rFont val="Tahoma"/>
            <family val="2"/>
          </rPr>
          <t>n/a (not applicable).</t>
        </r>
        <r>
          <rPr>
            <sz val="8"/>
            <color indexed="81"/>
            <rFont val="Tahoma"/>
            <family val="2"/>
          </rPr>
          <t xml:space="preserve"> Select n/a only if the water utility fails to have meters on its exported supply interconnections. 
</t>
        </r>
        <r>
          <rPr>
            <b/>
            <sz val="8"/>
            <color indexed="10"/>
            <rFont val="Tahoma"/>
            <family val="2"/>
          </rPr>
          <t>1.</t>
        </r>
        <r>
          <rPr>
            <sz val="8"/>
            <color indexed="10"/>
            <rFont val="Tahoma"/>
            <family val="2"/>
          </rPr>
          <t xml:space="preserve"> Inventory information on exported meters and paper records of measured volumes exist but are incomplete and/or in a very crude condition; data error cannot be determined   Written agreement(s) with the utility purchasing the water are missing or written in vague language concerning meter management and testing. </t>
        </r>
        <r>
          <rPr>
            <sz val="8"/>
            <color indexed="81"/>
            <rFont val="Tahoma"/>
            <family val="2"/>
          </rPr>
          <t xml:space="preserve">
</t>
        </r>
        <r>
          <rPr>
            <b/>
            <sz val="8"/>
            <color indexed="53"/>
            <rFont val="Tahoma"/>
            <family val="2"/>
          </rPr>
          <t>2.</t>
        </r>
        <r>
          <rPr>
            <sz val="8"/>
            <color indexed="53"/>
            <rFont val="Tahoma"/>
            <family val="2"/>
          </rPr>
          <t xml:space="preserve"> No automatic datalogging of exported supply volumes; daily readings are scribed on paper records without any accountability controls to confirm data accuracy and the absence of errors and data gaps in recorded volumes.  Written agreement requires meter accuracy testing but is vague on the details of how and who conducts the testing.</t>
        </r>
        <r>
          <rPr>
            <sz val="8"/>
            <color indexed="81"/>
            <rFont val="Tahoma"/>
            <family val="2"/>
          </rPr>
          <t xml:space="preserve">
</t>
        </r>
        <r>
          <rPr>
            <b/>
            <sz val="8"/>
            <color indexed="81"/>
            <rFont val="Tahoma"/>
            <family val="2"/>
          </rPr>
          <t>3.</t>
        </r>
        <r>
          <rPr>
            <sz val="8"/>
            <color indexed="81"/>
            <rFont val="Tahoma"/>
            <family val="2"/>
          </rPr>
          <t xml:space="preserve"> Conditions between 2 and 4
</t>
        </r>
        <r>
          <rPr>
            <b/>
            <sz val="8"/>
            <color indexed="20"/>
            <rFont val="Tahoma"/>
            <family val="2"/>
          </rPr>
          <t>4.</t>
        </r>
        <r>
          <rPr>
            <sz val="8"/>
            <color indexed="20"/>
            <rFont val="Tahoma"/>
            <family val="2"/>
          </rPr>
          <t xml:space="preserve"> Exported metered flow data is logged automatically in electronic format and reviewed at least on a monthly basis, with necessary corrections implemented.  Meter data is adjusted by the utility selling (exporting) the water when gross data errors are detected.  A coherent data trail exists for this process to protect both the utility exporting the water and the purchasing Utility.  Written agreement exists and clearly states requirements and roles for meter accuracy testing and data management. </t>
        </r>
        <r>
          <rPr>
            <sz val="8"/>
            <color indexed="81"/>
            <rFont val="Tahoma"/>
            <family val="2"/>
          </rPr>
          <t xml:space="preserve">
</t>
        </r>
        <r>
          <rPr>
            <b/>
            <sz val="8"/>
            <color indexed="81"/>
            <rFont val="Tahoma"/>
            <family val="2"/>
          </rPr>
          <t>5.</t>
        </r>
        <r>
          <rPr>
            <sz val="8"/>
            <color indexed="81"/>
            <rFont val="Tahoma"/>
            <family val="2"/>
          </rPr>
          <t xml:space="preserve"> Conditions between 4 and 6
</t>
        </r>
        <r>
          <rPr>
            <b/>
            <sz val="8"/>
            <color indexed="62"/>
            <rFont val="Tahoma"/>
            <family val="2"/>
          </rPr>
          <t>6.</t>
        </r>
        <r>
          <rPr>
            <sz val="8"/>
            <color indexed="62"/>
            <rFont val="Tahoma"/>
            <family val="2"/>
          </rPr>
          <t xml:space="preserve"> Hourly exported supply metered data is logged automatically &amp; reviewed on at least a weekly basis by the utility selling the water.  Data is adjusted to correct gross error when meter/instrumentation equipment malfunction is detected; and to correct for error found by meter accuracy testing.  Any data gaps in the archived data are detected and corrected during the weekly review.  A coherent data trail exists for this process to protect both the selling (exporting) utility and the purchasing Utility.  </t>
        </r>
        <r>
          <rPr>
            <sz val="8"/>
            <color indexed="81"/>
            <rFont val="Tahoma"/>
            <family val="2"/>
          </rPr>
          <t xml:space="preserve">  
</t>
        </r>
        <r>
          <rPr>
            <b/>
            <sz val="8"/>
            <color indexed="81"/>
            <rFont val="Tahoma"/>
            <family val="2"/>
          </rPr>
          <t>7.</t>
        </r>
        <r>
          <rPr>
            <sz val="8"/>
            <color indexed="81"/>
            <rFont val="Tahoma"/>
            <family val="2"/>
          </rPr>
          <t xml:space="preserve"> Conditions between 6 and 8
</t>
        </r>
        <r>
          <rPr>
            <b/>
            <sz val="8"/>
            <color indexed="12"/>
            <rFont val="Tahoma"/>
            <family val="2"/>
          </rPr>
          <t>8.</t>
        </r>
        <r>
          <rPr>
            <sz val="8"/>
            <color indexed="12"/>
            <rFont val="Tahoma"/>
            <family val="2"/>
          </rPr>
          <t xml:space="preserve"> Continuous exported supply metered flow data is logged automatically &amp; reviewed each business day by the utility selling (exporting) the water.  Data is adjusted to correct gross error from detected meter/instrumentation equipment malfunction and any error confirmed by meter accuracy testing.  Any data errors/gaps are detected and corrected on a daily basis.  A data trail exists for the process to protect both the selling (exporting) Utility and the purchasing Utility.</t>
        </r>
        <r>
          <rPr>
            <sz val="8"/>
            <color indexed="81"/>
            <rFont val="Tahoma"/>
            <family val="2"/>
          </rPr>
          <t xml:space="preserve">
</t>
        </r>
        <r>
          <rPr>
            <b/>
            <sz val="8"/>
            <color indexed="81"/>
            <rFont val="Tahoma"/>
            <family val="2"/>
          </rPr>
          <t>9.</t>
        </r>
        <r>
          <rPr>
            <sz val="8"/>
            <color indexed="81"/>
            <rFont val="Tahoma"/>
            <family val="2"/>
          </rPr>
          <t xml:space="preserve"> Conditions between 8 and 10
</t>
        </r>
        <r>
          <rPr>
            <b/>
            <sz val="8"/>
            <color indexed="17"/>
            <rFont val="Tahoma"/>
            <family val="2"/>
          </rPr>
          <t>10.</t>
        </r>
        <r>
          <rPr>
            <sz val="8"/>
            <color indexed="17"/>
            <rFont val="Tahoma"/>
            <family val="2"/>
          </rPr>
          <t xml:space="preserve"> Computerized system (SCADA or similar) automatically records data which is reviewed each business day by the utility selling (exporting) the water.  Tight accountability controls ensure that all error/data gaps that occur in the archived flow data are quickly detected and corrected.  A reliable data trail exists and contract provisions for meter testing and data management are reviewed by the selling Utility and purchasing Utility at least once every five years.</t>
        </r>
      </text>
    </comment>
    <comment ref="E23" authorId="0" shapeId="0" xr:uid="{00000000-0006-0000-0100-000007000000}">
      <text>
        <r>
          <rPr>
            <b/>
            <sz val="8"/>
            <color indexed="81"/>
            <rFont val="Tahoma"/>
            <family val="2"/>
          </rPr>
          <t>n/a (not applicable).</t>
        </r>
        <r>
          <rPr>
            <sz val="8"/>
            <color indexed="81"/>
            <rFont val="Tahoma"/>
            <family val="2"/>
          </rPr>
          <t xml:space="preserve"> Select n/a only if the entire customer population is not metered and is billed for water service on a flat or fixed rate basis. In such a case the volume entered must be zero.
</t>
        </r>
        <r>
          <rPr>
            <b/>
            <sz val="8"/>
            <color indexed="10"/>
            <rFont val="Tahoma"/>
            <family val="2"/>
          </rPr>
          <t>1.</t>
        </r>
        <r>
          <rPr>
            <sz val="8"/>
            <color indexed="10"/>
            <rFont val="Tahoma"/>
            <family val="2"/>
          </rPr>
          <t xml:space="preserve"> Less than 50% of customers with volume-based billings from meter readings; flat or fixed rate billing exists for the majority of the customer population.</t>
        </r>
        <r>
          <rPr>
            <sz val="8"/>
            <color indexed="81"/>
            <rFont val="Tahoma"/>
            <family val="2"/>
          </rPr>
          <t xml:space="preserve">
</t>
        </r>
        <r>
          <rPr>
            <b/>
            <sz val="8"/>
            <color indexed="53"/>
            <rFont val="Tahoma"/>
            <family val="2"/>
          </rPr>
          <t>2.</t>
        </r>
        <r>
          <rPr>
            <sz val="8"/>
            <color indexed="53"/>
            <rFont val="Tahoma"/>
            <family val="2"/>
          </rPr>
          <t xml:space="preserve"> At least 50% of customers with volume-based billing from meter reads; flat rate billing for others.  Manual meter reading is conducted, with less than 50% meter read success rate, remainding accounts' consumption is estimated.  Limited meter records, no regular meter testing or replacement.  Billing data maintained on paper records, with no auditing.</t>
        </r>
        <r>
          <rPr>
            <sz val="8"/>
            <color indexed="81"/>
            <rFont val="Tahoma"/>
            <family val="2"/>
          </rPr>
          <t xml:space="preserve">
</t>
        </r>
        <r>
          <rPr>
            <b/>
            <sz val="8"/>
            <color indexed="81"/>
            <rFont val="Tahoma"/>
            <family val="2"/>
          </rPr>
          <t>3.</t>
        </r>
        <r>
          <rPr>
            <sz val="8"/>
            <color indexed="81"/>
            <rFont val="Tahoma"/>
            <family val="2"/>
          </rPr>
          <t xml:space="preserve"> Conditions between 2 and 4
</t>
        </r>
        <r>
          <rPr>
            <b/>
            <sz val="8"/>
            <color indexed="20"/>
            <rFont val="Tahoma"/>
            <family val="2"/>
          </rPr>
          <t>4.</t>
        </r>
        <r>
          <rPr>
            <sz val="8"/>
            <color indexed="20"/>
            <rFont val="Tahoma"/>
            <family val="2"/>
          </rPr>
          <t xml:space="preserve"> At least 75% of customers with volume-based, billing from meter reads; flat or fixed rate billing for remaining accounts.  Manual meter reading is conducted with at least 50% meter read success rate; consumption for accounts with failed reads is estimated.  Purchase records verify age of customer meters; only very limited meter accuracy testing is conducted.  Customer meters are replaced only upon complete failure.  Computerized billing records exist, but only sporadic internal auditing conducted.</t>
        </r>
        <r>
          <rPr>
            <sz val="8"/>
            <color indexed="81"/>
            <rFont val="Tahoma"/>
            <family val="2"/>
          </rPr>
          <t xml:space="preserve">
</t>
        </r>
        <r>
          <rPr>
            <b/>
            <sz val="8"/>
            <color indexed="81"/>
            <rFont val="Tahoma"/>
            <family val="2"/>
          </rPr>
          <t>5.</t>
        </r>
        <r>
          <rPr>
            <sz val="8"/>
            <color indexed="81"/>
            <rFont val="Tahoma"/>
            <family val="2"/>
          </rPr>
          <t xml:space="preserve"> Conditions between 4 and 6
</t>
        </r>
        <r>
          <rPr>
            <b/>
            <sz val="8"/>
            <color indexed="62"/>
            <rFont val="Tahoma"/>
            <family val="2"/>
          </rPr>
          <t>6.</t>
        </r>
        <r>
          <rPr>
            <sz val="8"/>
            <color indexed="62"/>
            <rFont val="Tahoma"/>
            <family val="2"/>
          </rPr>
          <t xml:space="preserve"> At least 90% of customers with volume-based billing from meter reads; consumption for remaining accounts is estimated.  Manual customer meter reading gives at least 80% customer meter reading success rate; consumption for accounts with failed reads is estimated.  Good customer meter records eixst, but only limited meter accuracy testing is conducted.  Regular replacement is conducted for the oldest meters.  Computerized billing records exist with annual auditing of summary statistics conducting by utility personnel.</t>
        </r>
        <r>
          <rPr>
            <sz val="8"/>
            <color indexed="81"/>
            <rFont val="Tahoma"/>
            <family val="2"/>
          </rPr>
          <t xml:space="preserve">
</t>
        </r>
        <r>
          <rPr>
            <b/>
            <sz val="8"/>
            <color indexed="81"/>
            <rFont val="Tahoma"/>
            <family val="2"/>
          </rPr>
          <t>7.</t>
        </r>
        <r>
          <rPr>
            <sz val="8"/>
            <color indexed="81"/>
            <rFont val="Tahoma"/>
            <family val="2"/>
          </rPr>
          <t xml:space="preserve"> Conditions between 6 and 8
</t>
        </r>
        <r>
          <rPr>
            <b/>
            <sz val="8"/>
            <color indexed="12"/>
            <rFont val="Tahoma"/>
            <family val="2"/>
          </rPr>
          <t>8.</t>
        </r>
        <r>
          <rPr>
            <sz val="8"/>
            <color indexed="12"/>
            <rFont val="Tahoma"/>
            <family val="2"/>
          </rPr>
          <t xml:space="preserve"> At least 97% of customers exist with volume-based billing from meter reads.  At least 90% customer meter reading success rate; or at least 80% read success rate with planning and budgeting for trials of Automatic Meter Reading (AMR) or Advanced Metering Infrastructure (AMI) in one or more pilot areas.  Good customer meter records. Regular meter accuracy testing guides replacement of statistically significant number of meters each year.  Routine auditing of computerized billing records for global and detailed statistics occurs annually by utility personnel, and is verified by third party at least once every five years.</t>
        </r>
        <r>
          <rPr>
            <sz val="8"/>
            <color indexed="81"/>
            <rFont val="Tahoma"/>
            <family val="2"/>
          </rPr>
          <t xml:space="preserve">
</t>
        </r>
        <r>
          <rPr>
            <b/>
            <sz val="8"/>
            <color indexed="81"/>
            <rFont val="Tahoma"/>
            <family val="2"/>
          </rPr>
          <t>9.</t>
        </r>
        <r>
          <rPr>
            <sz val="8"/>
            <color indexed="81"/>
            <rFont val="Tahoma"/>
            <family val="2"/>
          </rPr>
          <t xml:space="preserve"> Conditions between 8 and 10
</t>
        </r>
        <r>
          <rPr>
            <b/>
            <sz val="8"/>
            <color indexed="17"/>
            <rFont val="Tahoma"/>
            <family val="2"/>
          </rPr>
          <t>10.</t>
        </r>
        <r>
          <rPr>
            <sz val="8"/>
            <color indexed="17"/>
            <rFont val="Tahoma"/>
            <family val="2"/>
          </rPr>
          <t xml:space="preserve"> At least 99% of customers exist with volume-based billing from meter reads.  At least 95% customer meter reading success rate; or minimum 80% meter reading success rate, with Automatic Meter Reading (AMR) or Advanced Metering Infrastructure (AMI) trials underway.  Statistically significant customer meter testing and replacement program in place on a continuous basis.  Computerized billing with routine, detailed auditing, including field investigation of representative sample of accounts undertaken annually by utility personnel.  Audit is conducted by third party auditors at least once every three years.</t>
        </r>
      </text>
    </comment>
    <comment ref="H23" authorId="0" shapeId="0" xr:uid="{00000000-0006-0000-0100-000008000000}">
      <text>
        <r>
          <rPr>
            <b/>
            <sz val="8"/>
            <color indexed="81"/>
            <rFont val="Tahoma"/>
            <family val="2"/>
          </rPr>
          <t>Please ensure water exported (if any) is excluded from the input value for this component.</t>
        </r>
      </text>
    </comment>
    <comment ref="E24" authorId="0" shapeId="0" xr:uid="{00000000-0006-0000-0100-000009000000}">
      <text>
        <r>
          <rPr>
            <b/>
            <sz val="8"/>
            <color indexed="81"/>
            <rFont val="Tahoma"/>
            <family val="2"/>
          </rPr>
          <t>n/a (not applicable).</t>
        </r>
        <r>
          <rPr>
            <sz val="8"/>
            <color indexed="81"/>
            <rFont val="Tahoma"/>
            <family val="2"/>
          </rPr>
          <t xml:space="preserve"> Select n/a if it is the policy of the water utility to meter all customer connections and it has been confirmed by detailed auditing that all customers do indeed have a water meter; i.e. no intentionally unmetered accounts exist
</t>
        </r>
        <r>
          <rPr>
            <b/>
            <sz val="8"/>
            <color indexed="10"/>
            <rFont val="Tahoma"/>
            <family val="2"/>
          </rPr>
          <t>1.</t>
        </r>
        <r>
          <rPr>
            <sz val="8"/>
            <color indexed="10"/>
            <rFont val="Tahoma"/>
            <family val="2"/>
          </rPr>
          <t xml:space="preserve"> Water utility policy does not require customer metering; flat or fixed fee billing is employed.  No data is collected on customer consumption.  The only estimates of customer population consumption available are derived from data estimation methods using average fixture count multiplied by number of connections, or similar approach.</t>
        </r>
        <r>
          <rPr>
            <sz val="8"/>
            <color indexed="81"/>
            <rFont val="Tahoma"/>
            <family val="2"/>
          </rPr>
          <t xml:space="preserve">
</t>
        </r>
        <r>
          <rPr>
            <b/>
            <sz val="8"/>
            <color indexed="53"/>
            <rFont val="Tahoma"/>
            <family val="2"/>
          </rPr>
          <t>2.</t>
        </r>
        <r>
          <rPr>
            <sz val="8"/>
            <color indexed="53"/>
            <rFont val="Tahoma"/>
            <family val="2"/>
          </rPr>
          <t xml:space="preserve"> Water utility policy does not require customer metering; flat or fixed fee billing is employed.  Some metered accounts exist in parts of the system (pilot areas or District Metered Areas) with consumption read periodically or recorded on portable dataloggers over one, three, or seven day periods.  Data from these sample meters are used to infer consumption for the total customer population.  Site specific estimation methods are used for unusual buildings/water uses.  </t>
        </r>
        <r>
          <rPr>
            <sz val="8"/>
            <color indexed="81"/>
            <rFont val="Tahoma"/>
            <family val="2"/>
          </rPr>
          <t xml:space="preserve">
</t>
        </r>
        <r>
          <rPr>
            <b/>
            <sz val="8"/>
            <color indexed="81"/>
            <rFont val="Tahoma"/>
            <family val="2"/>
          </rPr>
          <t>3.</t>
        </r>
        <r>
          <rPr>
            <sz val="8"/>
            <color indexed="81"/>
            <rFont val="Tahoma"/>
            <family val="2"/>
          </rPr>
          <t xml:space="preserve"> Conditions between 2 and 4
</t>
        </r>
        <r>
          <rPr>
            <b/>
            <sz val="8"/>
            <color indexed="20"/>
            <rFont val="Tahoma"/>
            <family val="2"/>
          </rPr>
          <t>4.</t>
        </r>
        <r>
          <rPr>
            <sz val="8"/>
            <color indexed="20"/>
            <rFont val="Tahoma"/>
            <family val="2"/>
          </rPr>
          <t xml:space="preserve"> Water utility policy does require metering and volume based billing in general.  However, a liberal amount of exemptions and a lack of clearly written and communicated procedures result in up to 20% of billed accounts believed to be unmetered by exemption; or the water utility is in transition to becoming fully metered, and a large number of customers remain unmetered.  A rough estimate of  the annual consumption for all unmetered accounts is included in the annual water audit, with no inspection of individual unmetered accounts</t>
        </r>
        <r>
          <rPr>
            <b/>
            <sz val="8"/>
            <color indexed="20"/>
            <rFont val="Tahoma"/>
            <family val="2"/>
          </rPr>
          <t>.</t>
        </r>
        <r>
          <rPr>
            <b/>
            <sz val="8"/>
            <color indexed="81"/>
            <rFont val="Tahoma"/>
            <family val="2"/>
          </rPr>
          <t xml:space="preserve">
5.</t>
        </r>
        <r>
          <rPr>
            <sz val="8"/>
            <color indexed="81"/>
            <rFont val="Tahoma"/>
            <family val="2"/>
          </rPr>
          <t xml:space="preserve"> Conditions between 4 and 6
</t>
        </r>
        <r>
          <rPr>
            <b/>
            <sz val="8"/>
            <color indexed="62"/>
            <rFont val="Tahoma"/>
            <family val="2"/>
          </rPr>
          <t>6.</t>
        </r>
        <r>
          <rPr>
            <sz val="8"/>
            <color indexed="62"/>
            <rFont val="Tahoma"/>
            <family val="2"/>
          </rPr>
          <t xml:space="preserve"> Water utility policy does require metering and volume based billing but established exemptions exist for a portion of accounts such as municipal buildings.  As many as 15% of billed accounts are unmetered due to this exemption or meter installation difficulties.  Only a group estimate of annual consumption for all unmetered accounts is included in the annual water audit, with no inspection of individual unmetered accounts.</t>
        </r>
        <r>
          <rPr>
            <b/>
            <sz val="8"/>
            <color indexed="81"/>
            <rFont val="Tahoma"/>
            <family val="2"/>
          </rPr>
          <t xml:space="preserve">
7.</t>
        </r>
        <r>
          <rPr>
            <sz val="8"/>
            <color indexed="81"/>
            <rFont val="Tahoma"/>
            <family val="2"/>
          </rPr>
          <t xml:space="preserve"> Conditions between 6 and 8
</t>
        </r>
        <r>
          <rPr>
            <b/>
            <sz val="8"/>
            <color indexed="12"/>
            <rFont val="Tahoma"/>
            <family val="2"/>
          </rPr>
          <t>8.</t>
        </r>
        <r>
          <rPr>
            <sz val="8"/>
            <color indexed="12"/>
            <rFont val="Tahoma"/>
            <family val="2"/>
          </rPr>
          <t xml:space="preserve"> Water utility policy does require metering and volume based billing for all customer accounts.  However, less than 5% of billed accounts remain unmetered because meter  installation is hindered by unusual circumstances.  The goal is to minimize the number of unmetered accounts.  Reliable estimates of consumption are obtained for these unmetered accounts via site specific estimation methods.</t>
        </r>
        <r>
          <rPr>
            <sz val="8"/>
            <color indexed="81"/>
            <rFont val="Tahoma"/>
            <family val="2"/>
          </rPr>
          <t xml:space="preserve">
</t>
        </r>
        <r>
          <rPr>
            <b/>
            <sz val="8"/>
            <color indexed="81"/>
            <rFont val="Tahoma"/>
            <family val="2"/>
          </rPr>
          <t>9.</t>
        </r>
        <r>
          <rPr>
            <sz val="8"/>
            <color indexed="81"/>
            <rFont val="Tahoma"/>
            <family val="2"/>
          </rPr>
          <t xml:space="preserve"> Conditions between 8 and 10</t>
        </r>
        <r>
          <rPr>
            <b/>
            <sz val="8"/>
            <color indexed="81"/>
            <rFont val="Tahoma"/>
            <family val="2"/>
          </rPr>
          <t xml:space="preserve">
</t>
        </r>
        <r>
          <rPr>
            <b/>
            <sz val="8"/>
            <color indexed="17"/>
            <rFont val="Tahoma"/>
            <family val="2"/>
          </rPr>
          <t>10.</t>
        </r>
        <r>
          <rPr>
            <sz val="8"/>
            <color indexed="17"/>
            <rFont val="Tahoma"/>
            <family val="2"/>
          </rPr>
          <t xml:space="preserve"> Water utility policy does require metering and volume based billing for all customer accounts.  Less than 2% of billed accounts are unmetered and exist because meter installation is hindered by unusual circumstances.  The goal exists to minimize the number of unmetered accounts to the extent that is economical.  Reliable estimates of consumption are obtained at these accounts via site specific estimation methods.</t>
        </r>
      </text>
    </comment>
    <comment ref="E25" authorId="0" shapeId="0" xr:uid="{00000000-0006-0000-0100-00000A000000}">
      <text>
        <r>
          <rPr>
            <b/>
            <sz val="8"/>
            <color indexed="81"/>
            <rFont val="Tahoma"/>
            <family val="2"/>
          </rPr>
          <t>n/a (not applicable).</t>
        </r>
        <r>
          <rPr>
            <sz val="8"/>
            <color indexed="81"/>
            <rFont val="Tahoma"/>
            <family val="2"/>
          </rPr>
          <t xml:space="preserve"> select n/a if all billing-exempt consumption is unmetered.  
</t>
        </r>
        <r>
          <rPr>
            <b/>
            <sz val="8"/>
            <color indexed="10"/>
            <rFont val="Tahoma"/>
            <family val="2"/>
          </rPr>
          <t>1.</t>
        </r>
        <r>
          <rPr>
            <sz val="8"/>
            <color indexed="10"/>
            <rFont val="Tahoma"/>
            <family val="2"/>
          </rPr>
          <t xml:space="preserve"> Billing practices exempt certain accounts, such as municipal buildings, but written policies do not exist; and a reliable count of unbilled metered accounts is unavailable.  Meter upkeep and meter reading on these accounts is rare and not considered a priority.  Due to poor recordkeeping and lack of auditing, water consumption for all such accounts is purely guesstimated.  </t>
        </r>
        <r>
          <rPr>
            <sz val="8"/>
            <color indexed="81"/>
            <rFont val="Tahoma"/>
            <family val="2"/>
          </rPr>
          <t xml:space="preserve">     
</t>
        </r>
        <r>
          <rPr>
            <b/>
            <sz val="8"/>
            <color indexed="53"/>
            <rFont val="Tahoma"/>
            <family val="2"/>
          </rPr>
          <t>2.</t>
        </r>
        <r>
          <rPr>
            <sz val="8"/>
            <color indexed="53"/>
            <rFont val="Tahoma"/>
            <family val="2"/>
          </rPr>
          <t xml:space="preserve"> Billing practices exempt certain accounts, such as municipal buildings, but only scattered, dated written directives exist to justify this practice.  A reliable count of unbilled metered accounts is unavailable.  Sporadic meter replacement and meter reading occurs on an as-needed basis.  The total annual water consumption for all unbilled, metered accounts is estimated based upon approximating the number of accounts and assigning consumption from actively billed accounts of same meter size.   </t>
        </r>
        <r>
          <rPr>
            <sz val="8"/>
            <color indexed="81"/>
            <rFont val="Tahoma"/>
            <family val="2"/>
          </rPr>
          <t xml:space="preserve">     
</t>
        </r>
        <r>
          <rPr>
            <b/>
            <sz val="8"/>
            <color indexed="81"/>
            <rFont val="Tahoma"/>
            <family val="2"/>
          </rPr>
          <t>3.</t>
        </r>
        <r>
          <rPr>
            <sz val="8"/>
            <color indexed="81"/>
            <rFont val="Tahoma"/>
            <family val="2"/>
          </rPr>
          <t xml:space="preserve"> Conditions between 2 and 4
</t>
        </r>
        <r>
          <rPr>
            <b/>
            <sz val="8"/>
            <color indexed="20"/>
            <rFont val="Tahoma"/>
            <family val="2"/>
          </rPr>
          <t>4.</t>
        </r>
        <r>
          <rPr>
            <sz val="8"/>
            <color indexed="20"/>
            <rFont val="Tahoma"/>
            <family val="2"/>
          </rPr>
          <t xml:space="preserve"> Dated written procedures permit billing exemption for specific accounts, such as municipal properties, but are unclear regarding certain other types of accounts.  Meter reading is given low priority and is sporadic.   Consumption is quantified from meter readings where available.  The total number of unbilled, unmetered accounts must be estimated along with consumption volumes.  </t>
        </r>
        <r>
          <rPr>
            <sz val="8"/>
            <color indexed="81"/>
            <rFont val="Tahoma"/>
            <family val="2"/>
          </rPr>
          <t xml:space="preserve">        </t>
        </r>
        <r>
          <rPr>
            <b/>
            <sz val="8"/>
            <color indexed="81"/>
            <rFont val="Tahoma"/>
            <family val="2"/>
          </rPr>
          <t xml:space="preserve">
5.</t>
        </r>
        <r>
          <rPr>
            <sz val="8"/>
            <color indexed="81"/>
            <rFont val="Tahoma"/>
            <family val="2"/>
          </rPr>
          <t xml:space="preserve"> Conditions between 4 and 6
</t>
        </r>
        <r>
          <rPr>
            <b/>
            <sz val="8"/>
            <color indexed="62"/>
            <rFont val="Tahoma"/>
            <family val="2"/>
          </rPr>
          <t>6.</t>
        </r>
        <r>
          <rPr>
            <sz val="8"/>
            <color indexed="62"/>
            <rFont val="Tahoma"/>
            <family val="2"/>
          </rPr>
          <t xml:space="preserve"> Written policies regarding billing exemptions exist but adherence in practice is questionable.  Metering and meter reading for municipal buildings is reliable but sporadic for other unbilled metered accounts.  Periodic auditing of such accounts is conducted.  Water consumption is quantified directly from meter readings where available, but the majority of the consumption is estimated.    </t>
        </r>
        <r>
          <rPr>
            <sz val="8"/>
            <color indexed="81"/>
            <rFont val="Tahoma"/>
            <family val="2"/>
          </rPr>
          <t xml:space="preserve">   
</t>
        </r>
        <r>
          <rPr>
            <b/>
            <sz val="8"/>
            <color indexed="81"/>
            <rFont val="Tahoma"/>
            <family val="2"/>
          </rPr>
          <t>7.</t>
        </r>
        <r>
          <rPr>
            <sz val="8"/>
            <color indexed="81"/>
            <rFont val="Tahoma"/>
            <family val="2"/>
          </rPr>
          <t xml:space="preserve"> Conditions between 6 and 8
</t>
        </r>
        <r>
          <rPr>
            <b/>
            <sz val="8"/>
            <color indexed="12"/>
            <rFont val="Tahoma"/>
            <family val="2"/>
          </rPr>
          <t>8.</t>
        </r>
        <r>
          <rPr>
            <sz val="8"/>
            <color indexed="12"/>
            <rFont val="Tahoma"/>
            <family val="2"/>
          </rPr>
          <t xml:space="preserve"> Written policy identifies the types of accounts granted a billing exemption.  Customer meter management and meter reading are considered secondary priorities, but meter reading is conducted at least annually to obtain consumption volumes for the annual water audit.  High level auditing of billing records ensures that a reliable census of such accounts exists.</t>
        </r>
        <r>
          <rPr>
            <sz val="8"/>
            <color indexed="81"/>
            <rFont val="Tahoma"/>
            <family val="2"/>
          </rPr>
          <t xml:space="preserve">          </t>
        </r>
        <r>
          <rPr>
            <b/>
            <sz val="8"/>
            <color indexed="81"/>
            <rFont val="Tahoma"/>
            <family val="2"/>
          </rPr>
          <t xml:space="preserve">
9.</t>
        </r>
        <r>
          <rPr>
            <sz val="8"/>
            <color indexed="81"/>
            <rFont val="Tahoma"/>
            <family val="2"/>
          </rPr>
          <t xml:space="preserve"> Conditions between 8 and 10
</t>
        </r>
        <r>
          <rPr>
            <b/>
            <sz val="8"/>
            <color indexed="17"/>
            <rFont val="Tahoma"/>
            <family val="2"/>
          </rPr>
          <t>10.</t>
        </r>
        <r>
          <rPr>
            <sz val="8"/>
            <color indexed="17"/>
            <rFont val="Tahoma"/>
            <family val="2"/>
          </rPr>
          <t xml:space="preserve"> Clearly written policy identifies the types of accounts given a billing exemption, with emphasis on keeping such accounts to a minimum.  Customer meter management and meter reading for these accounts is given proper priority and is reliably conducted.  Regular auditing confirms this.  Total water consumption for these accounts is taken from reliable readings from accurate meters.</t>
        </r>
      </text>
    </comment>
    <comment ref="E26" authorId="0" shapeId="0" xr:uid="{00000000-0006-0000-0100-00000B000000}">
      <text>
        <r>
          <rPr>
            <b/>
            <sz val="8"/>
            <color indexed="10"/>
            <rFont val="Tahoma"/>
            <family val="2"/>
          </rPr>
          <t>1.</t>
        </r>
        <r>
          <rPr>
            <sz val="8"/>
            <color indexed="10"/>
            <rFont val="Tahoma"/>
            <family val="2"/>
          </rPr>
          <t xml:space="preserve"> Extent of unbilled, unmetered consumption is unknown due to unclear policies and poor recordkeeping.  Total consumption is quantified based upon a purely subjective estimate. </t>
        </r>
        <r>
          <rPr>
            <sz val="8"/>
            <color indexed="81"/>
            <rFont val="Tahoma"/>
            <family val="2"/>
          </rPr>
          <t xml:space="preserve"> 
</t>
        </r>
        <r>
          <rPr>
            <b/>
            <sz val="8"/>
            <color indexed="53"/>
            <rFont val="Tahoma"/>
            <family val="2"/>
          </rPr>
          <t>2.</t>
        </r>
        <r>
          <rPr>
            <sz val="8"/>
            <color indexed="53"/>
            <rFont val="Tahoma"/>
            <family val="2"/>
          </rPr>
          <t xml:space="preserve"> Clear extent of unbilled, unmetered consumption is unknown, but a number of events are randomly documented each year, confirming existence of such consumption, but without sufficient documentation to quantify an accurate estimate of the annual volume consumed.</t>
        </r>
        <r>
          <rPr>
            <sz val="8"/>
            <color indexed="81"/>
            <rFont val="Tahoma"/>
            <family val="2"/>
          </rPr>
          <t xml:space="preserve">
</t>
        </r>
        <r>
          <rPr>
            <b/>
            <sz val="8"/>
            <color indexed="81"/>
            <rFont val="Tahoma"/>
            <family val="2"/>
          </rPr>
          <t>3.</t>
        </r>
        <r>
          <rPr>
            <sz val="8"/>
            <color indexed="81"/>
            <rFont val="Tahoma"/>
            <family val="2"/>
          </rPr>
          <t xml:space="preserve"> Conditions between 2 and 4
</t>
        </r>
        <r>
          <rPr>
            <b/>
            <sz val="8"/>
            <color indexed="20"/>
            <rFont val="Tahoma"/>
            <family val="2"/>
          </rPr>
          <t>4.</t>
        </r>
        <r>
          <rPr>
            <sz val="8"/>
            <color indexed="20"/>
            <rFont val="Tahoma"/>
            <family val="2"/>
          </rPr>
          <t xml:space="preserve"> Extent of unbilled, unmetered consumption is partially known, and procedures exist to document certain events such as miscellaneous fire hydrant uses.  Formulae is used to quantify the consumption from such events (time running multiplied by typical flowrate, multiplied by number of  events). </t>
        </r>
        <r>
          <rPr>
            <sz val="8"/>
            <color indexed="81"/>
            <rFont val="Tahoma"/>
            <family val="2"/>
          </rPr>
          <t xml:space="preserve"> 
</t>
        </r>
        <r>
          <rPr>
            <b/>
            <sz val="8"/>
            <color indexed="81"/>
            <rFont val="Tahoma"/>
            <family val="2"/>
          </rPr>
          <t>5.</t>
        </r>
        <r>
          <rPr>
            <sz val="8"/>
            <color indexed="81"/>
            <rFont val="Tahoma"/>
            <family val="2"/>
          </rPr>
          <t xml:space="preserve"> Default value of 1.25% of system input volume is employed
</t>
        </r>
        <r>
          <rPr>
            <b/>
            <sz val="8"/>
            <color indexed="62"/>
            <rFont val="Tahoma"/>
            <family val="2"/>
          </rPr>
          <t>6.</t>
        </r>
        <r>
          <rPr>
            <sz val="8"/>
            <color indexed="62"/>
            <rFont val="Tahoma"/>
            <family val="2"/>
          </rPr>
          <t xml:space="preserve"> Coherent policies exist for some forms of unbilled, unmetered consumption but others await closer evaluation. Reasonable recordkeeping for the managed uses exists and allows for annual volumes to be quantified by inference, but unsupervised uses are guesstimated.</t>
        </r>
        <r>
          <rPr>
            <sz val="8"/>
            <color indexed="81"/>
            <rFont val="Tahoma"/>
            <family val="2"/>
          </rPr>
          <t xml:space="preserve">
</t>
        </r>
        <r>
          <rPr>
            <b/>
            <sz val="8"/>
            <color indexed="81"/>
            <rFont val="Tahoma"/>
            <family val="2"/>
          </rPr>
          <t>7.</t>
        </r>
        <r>
          <rPr>
            <sz val="8"/>
            <color indexed="81"/>
            <rFont val="Tahoma"/>
            <family val="2"/>
          </rPr>
          <t xml:space="preserve"> Conditions between 6 and 8
</t>
        </r>
        <r>
          <rPr>
            <b/>
            <sz val="8"/>
            <color indexed="12"/>
            <rFont val="Tahoma"/>
            <family val="2"/>
          </rPr>
          <t>8.</t>
        </r>
        <r>
          <rPr>
            <sz val="8"/>
            <color indexed="12"/>
            <rFont val="Tahoma"/>
            <family val="2"/>
          </rPr>
          <t xml:space="preserve"> Clear policies and good recordkeeping exist for some uses (ex: water used in periodic testing of unmetered fire connections), but other uses (ex: miscellaneous uses of fire hydrants) have limited oversight.  Total consumption is a mix of well quantified use such as from formulae (time running multiplied by typical flow, multiplied by number of events) or temporary meters, and relatively subjective estimates of less regulated use.</t>
        </r>
        <r>
          <rPr>
            <sz val="8"/>
            <color indexed="81"/>
            <rFont val="Tahoma"/>
            <family val="2"/>
          </rPr>
          <t xml:space="preserve">
</t>
        </r>
        <r>
          <rPr>
            <b/>
            <sz val="8"/>
            <color indexed="81"/>
            <rFont val="Tahoma"/>
            <family val="2"/>
          </rPr>
          <t>9.</t>
        </r>
        <r>
          <rPr>
            <sz val="8"/>
            <color indexed="81"/>
            <rFont val="Tahoma"/>
            <family val="2"/>
          </rPr>
          <t xml:space="preserve"> Conditions between 8 and 10
</t>
        </r>
        <r>
          <rPr>
            <b/>
            <sz val="8"/>
            <color indexed="17"/>
            <rFont val="Tahoma"/>
            <family val="2"/>
          </rPr>
          <t>10.</t>
        </r>
        <r>
          <rPr>
            <sz val="8"/>
            <color indexed="17"/>
            <rFont val="Tahoma"/>
            <family val="2"/>
          </rPr>
          <t xml:space="preserve"> Clear policies exist to identify permitted use of water in unbilled, unmetered fashion, with the intention of minimizing this type of consumption.  Good records document each occurrence and consumption is quantified via formulae (time running multiplied by typical flow, multiplied by number of events) or use of temporary meters.</t>
        </r>
      </text>
    </comment>
    <comment ref="L26" authorId="0" shapeId="0" xr:uid="{00000000-0006-0000-0100-00000C000000}">
      <text>
        <r>
          <rPr>
            <b/>
            <sz val="8"/>
            <color indexed="81"/>
            <rFont val="Tahoma"/>
            <family val="2"/>
          </rPr>
          <t>Selecting the default percentage option will automatically assign a grading of 5 for this audit component</t>
        </r>
      </text>
    </comment>
    <comment ref="E38" authorId="0" shapeId="0" xr:uid="{00000000-0006-0000-0100-00000D000000}">
      <text>
        <r>
          <rPr>
            <b/>
            <sz val="8"/>
            <color indexed="10"/>
            <rFont val="Tahoma"/>
            <family val="2"/>
          </rPr>
          <t>1.</t>
        </r>
        <r>
          <rPr>
            <sz val="8"/>
            <color indexed="10"/>
            <rFont val="Tahoma"/>
            <family val="2"/>
          </rPr>
          <t xml:space="preserve"> Extent of unauthorized consumption is unknown due to unclear policies and poor recordkeeping.  Total unauthorized consumption is guesstimated. </t>
        </r>
        <r>
          <rPr>
            <sz val="8"/>
            <color indexed="81"/>
            <rFont val="Tahoma"/>
            <family val="2"/>
          </rPr>
          <t xml:space="preserve"> 
</t>
        </r>
        <r>
          <rPr>
            <b/>
            <sz val="8"/>
            <color indexed="53"/>
            <rFont val="Tahoma"/>
            <family val="2"/>
          </rPr>
          <t>2.</t>
        </r>
        <r>
          <rPr>
            <sz val="8"/>
            <color indexed="53"/>
            <rFont val="Tahoma"/>
            <family val="2"/>
          </rPr>
          <t xml:space="preserve"> Unauthorized consumption is a known occurrence, but its extent is a mystery.  There are no requirements to document observed events, but periodic field reports capture some of these occurrences.  Total unauthorized consumption is approximated from this limited data.  </t>
        </r>
        <r>
          <rPr>
            <sz val="8"/>
            <color indexed="81"/>
            <rFont val="Tahoma"/>
            <family val="2"/>
          </rPr>
          <t xml:space="preserve">
</t>
        </r>
        <r>
          <rPr>
            <b/>
            <sz val="8"/>
            <color indexed="81"/>
            <rFont val="Tahoma"/>
            <family val="2"/>
          </rPr>
          <t>3.</t>
        </r>
        <r>
          <rPr>
            <sz val="8"/>
            <color indexed="81"/>
            <rFont val="Tahoma"/>
            <family val="2"/>
          </rPr>
          <t xml:space="preserve"> conditions between 2 and 4
</t>
        </r>
        <r>
          <rPr>
            <b/>
            <sz val="8"/>
            <color indexed="20"/>
            <rFont val="Tahoma"/>
            <family val="2"/>
          </rPr>
          <t>4.</t>
        </r>
        <r>
          <rPr>
            <sz val="8"/>
            <color indexed="20"/>
            <rFont val="Tahoma"/>
            <family val="2"/>
          </rPr>
          <t xml:space="preserve"> Procedures exist to document some unauthorized consumption such as observed unauthorized fire hydrant openings.  Use formulae to quantify this consumption (time running multiplied typical flowrate, multiplied by number of  events).  
</t>
        </r>
        <r>
          <rPr>
            <b/>
            <sz val="8"/>
            <color indexed="81"/>
            <rFont val="Tahoma"/>
            <family val="2"/>
          </rPr>
          <t>5.</t>
        </r>
        <r>
          <rPr>
            <sz val="8"/>
            <color indexed="81"/>
            <rFont val="Tahoma"/>
            <family val="2"/>
          </rPr>
          <t xml:space="preserve"> Default value of 0.25% of volume of water supplied is employed.
</t>
        </r>
        <r>
          <rPr>
            <b/>
            <sz val="8"/>
            <color indexed="62"/>
            <rFont val="Tahoma"/>
            <family val="2"/>
          </rPr>
          <t>6.</t>
        </r>
        <r>
          <rPr>
            <sz val="8"/>
            <color indexed="62"/>
            <rFont val="Tahoma"/>
            <family val="2"/>
          </rPr>
          <t xml:space="preserve"> Coherent policies exist for some forms of unauthorized consumption (more than simply fire hydrant misuse) but others await closer evaluation. Reasonable surveillance and recordkeeping exist for occurrences that fall under the policy.  Volumes quantified by inference from these records. </t>
        </r>
        <r>
          <rPr>
            <sz val="8"/>
            <color indexed="81"/>
            <rFont val="Tahoma"/>
            <family val="2"/>
          </rPr>
          <t xml:space="preserve">
</t>
        </r>
        <r>
          <rPr>
            <b/>
            <sz val="8"/>
            <color indexed="81"/>
            <rFont val="Tahoma"/>
            <family val="2"/>
          </rPr>
          <t>7.</t>
        </r>
        <r>
          <rPr>
            <sz val="8"/>
            <color indexed="81"/>
            <rFont val="Tahoma"/>
            <family val="2"/>
          </rPr>
          <t xml:space="preserve"> Conditions between 6 and 8
</t>
        </r>
        <r>
          <rPr>
            <b/>
            <sz val="8"/>
            <color indexed="12"/>
            <rFont val="Tahoma"/>
            <family val="2"/>
          </rPr>
          <t>8.</t>
        </r>
        <r>
          <rPr>
            <sz val="8"/>
            <color indexed="12"/>
            <rFont val="Tahoma"/>
            <family val="2"/>
          </rPr>
          <t xml:space="preserve"> Clear policies and good auditable recordkeeping exist for certain events (ex: tampering with water meters, illegal bypasses of customer meters); but other occurrences have limited oversight.  Total consumption is a combination of volumes from formulae (time x typical flow) and subjective estimates of unconfirmed consumption.</t>
        </r>
        <r>
          <rPr>
            <b/>
            <sz val="8"/>
            <color indexed="81"/>
            <rFont val="Tahoma"/>
            <family val="2"/>
          </rPr>
          <t xml:space="preserve">
9.</t>
        </r>
        <r>
          <rPr>
            <sz val="8"/>
            <color indexed="81"/>
            <rFont val="Tahoma"/>
            <family val="2"/>
          </rPr>
          <t xml:space="preserve"> Conditions between 8 and 10
</t>
        </r>
        <r>
          <rPr>
            <b/>
            <sz val="8"/>
            <color indexed="17"/>
            <rFont val="Tahoma"/>
            <family val="2"/>
          </rPr>
          <t>10.</t>
        </r>
        <r>
          <rPr>
            <sz val="8"/>
            <color indexed="17"/>
            <rFont val="Tahoma"/>
            <family val="2"/>
          </rPr>
          <t xml:space="preserve"> Clear policies exist to identify all known unauthorized uses of water.  Staff and procedures exist to provide enforcement of policies and detect violations.  Each occurrence is recorded and quantified via formulae (estimated time running multiplied by typical flow) or similar methods.  All records and calculations should exist in a form that can be audited by a third party.</t>
        </r>
      </text>
    </comment>
    <comment ref="L38" authorId="0" shapeId="0" xr:uid="{00000000-0006-0000-0100-00000E000000}">
      <text>
        <r>
          <rPr>
            <b/>
            <sz val="8"/>
            <color indexed="81"/>
            <rFont val="Tahoma"/>
            <family val="2"/>
          </rPr>
          <t>Selecting the default percentage option will automatically assign a grading of 5 for this audit component</t>
        </r>
      </text>
    </comment>
    <comment ref="E42" authorId="0" shapeId="0" xr:uid="{00000000-0006-0000-0100-00000F000000}">
      <text>
        <r>
          <rPr>
            <b/>
            <sz val="8"/>
            <color indexed="81"/>
            <rFont val="Tahoma"/>
            <family val="2"/>
          </rPr>
          <t>n/a (not applicable).</t>
        </r>
        <r>
          <rPr>
            <sz val="8"/>
            <color indexed="81"/>
            <rFont val="Tahoma"/>
            <family val="2"/>
          </rPr>
          <t xml:space="preserve"> select n/a only if the entire customer population is unmetered. In such a case the volume entered must be zero.
</t>
        </r>
        <r>
          <rPr>
            <b/>
            <sz val="8"/>
            <color indexed="10"/>
            <rFont val="Tahoma"/>
            <family val="2"/>
          </rPr>
          <t>1.</t>
        </r>
        <r>
          <rPr>
            <sz val="8"/>
            <color indexed="10"/>
            <rFont val="Tahoma"/>
            <family val="2"/>
          </rPr>
          <t xml:space="preserve"> Customer meters exist, but with unorganized paper records on meters; no meter accuracy testing or meter replacement program for any size of retail meter.  Metering workflow is driven chaotically with no proactive management.  Loss volume due to aggregate meter inaccuracy is guesstimated.</t>
        </r>
        <r>
          <rPr>
            <b/>
            <sz val="8"/>
            <color indexed="81"/>
            <rFont val="Tahoma"/>
            <family val="2"/>
          </rPr>
          <t xml:space="preserve">
</t>
        </r>
        <r>
          <rPr>
            <b/>
            <sz val="8"/>
            <color indexed="53"/>
            <rFont val="Tahoma"/>
            <family val="2"/>
          </rPr>
          <t>2.</t>
        </r>
        <r>
          <rPr>
            <sz val="8"/>
            <color indexed="53"/>
            <rFont val="Tahoma"/>
            <family val="2"/>
          </rPr>
          <t xml:space="preserve"> Poor recordkeeping and meter oversight is recognized by water utility management who has allotted staff and funding resources to organize improved recordkeeping and start meter accuracy testing.  Existing paper records gathered and organized to provide cursory disposition of meter population.  Customer meters are tested for accuracy only upon customer request.</t>
        </r>
        <r>
          <rPr>
            <sz val="8"/>
            <color indexed="81"/>
            <rFont val="Tahoma"/>
            <family val="2"/>
          </rPr>
          <t xml:space="preserve">
</t>
        </r>
        <r>
          <rPr>
            <b/>
            <sz val="8"/>
            <color indexed="81"/>
            <rFont val="Tahoma"/>
            <family val="2"/>
          </rPr>
          <t>3.</t>
        </r>
        <r>
          <rPr>
            <sz val="8"/>
            <color indexed="81"/>
            <rFont val="Tahoma"/>
            <family val="2"/>
          </rPr>
          <t xml:space="preserve"> Conditions between 2 and 4
</t>
        </r>
        <r>
          <rPr>
            <b/>
            <sz val="8"/>
            <color indexed="20"/>
            <rFont val="Tahoma"/>
            <family val="2"/>
          </rPr>
          <t xml:space="preserve">4. </t>
        </r>
        <r>
          <rPr>
            <sz val="8"/>
            <color indexed="20"/>
            <rFont val="Tahoma"/>
            <family val="2"/>
          </rPr>
          <t>Reliable recordkeeping exists; meter information is improving as meters are replaced.    Meter accuracy testing is conducted annually for a small number of meters (more than just customer requests, but less than 1% of inventory).  A limited number of the oldest meters are replaced each year.  Inaccuracy volume is largely an estimate, but refined based upon limited testing data.</t>
        </r>
        <r>
          <rPr>
            <sz val="8"/>
            <color indexed="81"/>
            <rFont val="Tahoma"/>
            <family val="2"/>
          </rPr>
          <t xml:space="preserve">
</t>
        </r>
        <r>
          <rPr>
            <b/>
            <sz val="8"/>
            <color indexed="81"/>
            <rFont val="Tahoma"/>
            <family val="2"/>
          </rPr>
          <t>5.</t>
        </r>
        <r>
          <rPr>
            <sz val="8"/>
            <color indexed="81"/>
            <rFont val="Tahoma"/>
            <family val="2"/>
          </rPr>
          <t xml:space="preserve"> Conditions between 4 and 6
</t>
        </r>
        <r>
          <rPr>
            <b/>
            <sz val="8"/>
            <color indexed="62"/>
            <rFont val="Tahoma"/>
            <family val="2"/>
          </rPr>
          <t>6.</t>
        </r>
        <r>
          <rPr>
            <sz val="8"/>
            <color indexed="62"/>
            <rFont val="Tahoma"/>
            <family val="2"/>
          </rPr>
          <t xml:space="preserve"> A reliable electronic recordkeeping system for meters exists.  The meter population includes a mix of new high performing meters and dated meters with suspect accuracy.  Routine, but limited, meter accuracy testing and meter replacement occur.  Inaccuracy volume is quantified using a mix of reliable and less certain data.</t>
        </r>
        <r>
          <rPr>
            <sz val="8"/>
            <color indexed="81"/>
            <rFont val="Tahoma"/>
            <family val="2"/>
          </rPr>
          <t xml:space="preserve">
</t>
        </r>
        <r>
          <rPr>
            <b/>
            <sz val="8"/>
            <color indexed="81"/>
            <rFont val="Tahoma"/>
            <family val="2"/>
          </rPr>
          <t>7.</t>
        </r>
        <r>
          <rPr>
            <sz val="8"/>
            <color indexed="81"/>
            <rFont val="Tahoma"/>
            <family val="2"/>
          </rPr>
          <t xml:space="preserve"> Conditions between 6 and 8
</t>
        </r>
        <r>
          <rPr>
            <b/>
            <sz val="8"/>
            <color indexed="12"/>
            <rFont val="Tahoma"/>
            <family val="2"/>
          </rPr>
          <t>8.</t>
        </r>
        <r>
          <rPr>
            <sz val="8"/>
            <color indexed="12"/>
            <rFont val="Tahoma"/>
            <family val="2"/>
          </rPr>
          <t xml:space="preserve"> Ongoing meter replacement and accuracy testing result in highly accurate customer meter population.  Testing is conducted on samples of meters of varying age and accumulated volume of throughput to determine optimum replacement time for various types of meters.  </t>
        </r>
        <r>
          <rPr>
            <sz val="8"/>
            <color indexed="81"/>
            <rFont val="Tahoma"/>
            <family val="2"/>
          </rPr>
          <t xml:space="preserve">
</t>
        </r>
        <r>
          <rPr>
            <b/>
            <sz val="8"/>
            <color indexed="81"/>
            <rFont val="Tahoma"/>
            <family val="2"/>
          </rPr>
          <t>9.</t>
        </r>
        <r>
          <rPr>
            <sz val="8"/>
            <color indexed="81"/>
            <rFont val="Tahoma"/>
            <family val="2"/>
          </rPr>
          <t xml:space="preserve"> Ongoing meter replacement and accuracy testing result in highly accurate customer meter population.  Statistically significant number of meters are tested in audit year.  This testing is conducted on samples of meters of varying age and accumulated volume of throughput to determine optimum replacement time for these meters.
</t>
        </r>
        <r>
          <rPr>
            <b/>
            <sz val="8"/>
            <color indexed="17"/>
            <rFont val="Tahoma"/>
            <family val="2"/>
          </rPr>
          <t>10.</t>
        </r>
        <r>
          <rPr>
            <sz val="8"/>
            <color indexed="17"/>
            <rFont val="Tahoma"/>
            <family val="2"/>
          </rPr>
          <t xml:space="preserve"> Good records of all active customer meters exist and include as a minimum: meter number, account number/location, type, size and manufacturer.  Ongoing meter replacement occurs according to a targeted and justified basis.  Regular meter accuracy testing gives a reliable measure of composite inaccuracy volume for the customer meter population.  New metering technology is embraced to keep overall accuracy improving.  Procedures are reviewed by a third party knowledgeable in the M36 methodology.</t>
        </r>
      </text>
    </comment>
    <comment ref="L42" authorId="0" shapeId="0" xr:uid="{00000000-0006-0000-0100-000010000000}">
      <text>
        <r>
          <rPr>
            <b/>
            <sz val="8"/>
            <color indexed="81"/>
            <rFont val="Tahoma"/>
            <family val="2"/>
          </rPr>
          <t>Enter a percentage &lt; 10% or enter a value in the box to the right</t>
        </r>
      </text>
    </comment>
    <comment ref="E43" authorId="0" shapeId="0" xr:uid="{00000000-0006-0000-0100-000011000000}">
      <text>
        <r>
          <rPr>
            <b/>
            <sz val="8"/>
            <color indexed="81"/>
            <rFont val="Tahoma"/>
            <family val="2"/>
          </rPr>
          <t>n/a (not applicable).</t>
        </r>
        <r>
          <rPr>
            <sz val="8"/>
            <color indexed="81"/>
            <rFont val="Tahoma"/>
            <family val="2"/>
          </rPr>
          <t xml:space="preserve"> Note: all water utilities incur some amount of this error. Even in water utilities with unmetered customer populations and fixed rate billing, errors occur in annual billing tabulations. Enter a positive value for the volume and select a grading.
</t>
        </r>
        <r>
          <rPr>
            <b/>
            <sz val="8"/>
            <color indexed="10"/>
            <rFont val="Tahoma"/>
            <family val="2"/>
          </rPr>
          <t>1.</t>
        </r>
        <r>
          <rPr>
            <sz val="8"/>
            <color indexed="10"/>
            <rFont val="Tahoma"/>
            <family val="2"/>
          </rPr>
          <t xml:space="preserve"> Policies and procedures for activation of new customer water billing accounts are vague and lack accountability. Billing data is maintained on paper records which are not well organized.  No auditing is conducted to confirm billing data handling efficiency.  An unknown number of customers escape routine billing due to lack of billing process oversight.</t>
        </r>
        <r>
          <rPr>
            <b/>
            <sz val="8"/>
            <color indexed="81"/>
            <rFont val="Tahoma"/>
            <family val="2"/>
          </rPr>
          <t xml:space="preserve">
</t>
        </r>
        <r>
          <rPr>
            <b/>
            <sz val="8"/>
            <color indexed="53"/>
            <rFont val="Tahoma"/>
            <family val="2"/>
          </rPr>
          <t>2.</t>
        </r>
        <r>
          <rPr>
            <sz val="8"/>
            <color indexed="53"/>
            <rFont val="Tahoma"/>
            <family val="2"/>
          </rPr>
          <t xml:space="preserve"> Policy and procedures for activation of new customer accounts and oversight of billing records exist but need refinement. Billing data is maintained on paper records or insufficiently capable electronic database.  Only periodic unstructured auditing work is conducted to confirm billing data handling efficiency.  The volume of unbilled water due to billing lapses is a guess.</t>
        </r>
        <r>
          <rPr>
            <sz val="8"/>
            <color indexed="81"/>
            <rFont val="Tahoma"/>
            <family val="2"/>
          </rPr>
          <t xml:space="preserve">
</t>
        </r>
        <r>
          <rPr>
            <b/>
            <sz val="8"/>
            <color indexed="81"/>
            <rFont val="Tahoma"/>
            <family val="2"/>
          </rPr>
          <t>3.</t>
        </r>
        <r>
          <rPr>
            <sz val="8"/>
            <color indexed="81"/>
            <rFont val="Tahoma"/>
            <family val="2"/>
          </rPr>
          <t xml:space="preserve"> Conditions between 2 and 4
</t>
        </r>
        <r>
          <rPr>
            <b/>
            <sz val="8"/>
            <color indexed="20"/>
            <rFont val="Tahoma"/>
            <family val="2"/>
          </rPr>
          <t>4.</t>
        </r>
        <r>
          <rPr>
            <sz val="8"/>
            <color indexed="20"/>
            <rFont val="Tahoma"/>
            <family val="2"/>
          </rPr>
          <t xml:space="preserve"> Policy and procedures for new account activation and oversight of billing operations exist but needs refinement.  Computerized billing system exists, but is dated or lacks needed functionality.  Periodic, limited internal audits conducted and confirm with approximate accuracy the consumption volumes lost to billing lapses.</t>
        </r>
        <r>
          <rPr>
            <sz val="8"/>
            <color indexed="81"/>
            <rFont val="Tahoma"/>
            <family val="2"/>
          </rPr>
          <t xml:space="preserve">
</t>
        </r>
        <r>
          <rPr>
            <b/>
            <sz val="8"/>
            <color indexed="81"/>
            <rFont val="Tahoma"/>
            <family val="2"/>
          </rPr>
          <t>5.</t>
        </r>
        <r>
          <rPr>
            <sz val="8"/>
            <color indexed="81"/>
            <rFont val="Tahoma"/>
            <family val="2"/>
          </rPr>
          <t xml:space="preserve"> Conditions between 4 and 6
</t>
        </r>
        <r>
          <rPr>
            <b/>
            <sz val="8"/>
            <color indexed="62"/>
            <rFont val="Tahoma"/>
            <family val="2"/>
          </rPr>
          <t>6.</t>
        </r>
        <r>
          <rPr>
            <sz val="8"/>
            <color indexed="62"/>
            <rFont val="Tahoma"/>
            <family val="2"/>
          </rPr>
          <t xml:space="preserve"> Policy and procedures for new account activation and oversight of billing operations is adequate and reviewed periodically.  Computerized billing system is in use with basic reporting available.  Any effect of billing adjustments on measured consumption volumes is well understood.  Internal checks of billing data error conducted annually.  Reasonably accurate quantification of consumption volume lost to billing lapses is obtained.</t>
        </r>
        <r>
          <rPr>
            <sz val="8"/>
            <color indexed="81"/>
            <rFont val="Tahoma"/>
            <family val="2"/>
          </rPr>
          <t xml:space="preserve">
</t>
        </r>
        <r>
          <rPr>
            <b/>
            <sz val="8"/>
            <color indexed="81"/>
            <rFont val="Tahoma"/>
            <family val="2"/>
          </rPr>
          <t>7.</t>
        </r>
        <r>
          <rPr>
            <sz val="8"/>
            <color indexed="81"/>
            <rFont val="Tahoma"/>
            <family val="2"/>
          </rPr>
          <t xml:space="preserve"> Conditions between 6 and 8
</t>
        </r>
        <r>
          <rPr>
            <b/>
            <sz val="8"/>
            <color indexed="12"/>
            <rFont val="Tahoma"/>
            <family val="2"/>
          </rPr>
          <t>8.</t>
        </r>
        <r>
          <rPr>
            <sz val="8"/>
            <color indexed="12"/>
            <rFont val="Tahoma"/>
            <family val="2"/>
          </rPr>
          <t xml:space="preserve"> New account activation and billing operations policy and procedures are reviewed at least biannually.  Computerized billing system includes an array of reports to confirm billing data and system functionality.  Checks are conducted routinely to flag and explain zero consumption accounts.  Annual internal checks conducted with third party audit conducted at least once every five years.  Accountability checks flag billing lapses.  Consumption lost to billing lapses is well quantified and reducing year-by-year.</t>
        </r>
        <r>
          <rPr>
            <sz val="8"/>
            <color indexed="81"/>
            <rFont val="Tahoma"/>
            <family val="2"/>
          </rPr>
          <t xml:space="preserve">
</t>
        </r>
        <r>
          <rPr>
            <b/>
            <sz val="8"/>
            <color indexed="81"/>
            <rFont val="Tahoma"/>
            <family val="2"/>
          </rPr>
          <t>9.</t>
        </r>
        <r>
          <rPr>
            <sz val="8"/>
            <color indexed="81"/>
            <rFont val="Tahoma"/>
            <family val="2"/>
          </rPr>
          <t xml:space="preserve"> Conditions between 8 and 10
</t>
        </r>
        <r>
          <rPr>
            <b/>
            <sz val="8"/>
            <color indexed="17"/>
            <rFont val="Tahoma"/>
            <family val="2"/>
          </rPr>
          <t>10.</t>
        </r>
        <r>
          <rPr>
            <sz val="8"/>
            <color indexed="17"/>
            <rFont val="Tahoma"/>
            <family val="2"/>
          </rPr>
          <t xml:space="preserve"> Sound written policy and procedures exist for new account activation and oversight of customer billing operations.  Robust computerized billing system gives high functionality and reporting capabilities which are utilized, analyzed and the results reported each billing cycle.  Assessment of policy and data handling errors are conducted internally and audited by third party at least once every three years, ensuring consumption lost to billing lapses is minimized and detected as it occurs.</t>
        </r>
      </text>
    </comment>
    <comment ref="L43" authorId="0" shapeId="0" xr:uid="{00000000-0006-0000-0100-000012000000}">
      <text>
        <r>
          <rPr>
            <b/>
            <sz val="8"/>
            <color indexed="81"/>
            <rFont val="Tahoma"/>
            <family val="2"/>
          </rPr>
          <t>Selecting the default percentage option will automatically assign a grading of 5 for this audit component</t>
        </r>
      </text>
    </comment>
    <comment ref="E62" authorId="0" shapeId="0" xr:uid="{00000000-0006-0000-0100-000013000000}">
      <text>
        <r>
          <rPr>
            <b/>
            <sz val="8"/>
            <color indexed="10"/>
            <rFont val="Tahoma"/>
            <family val="2"/>
          </rPr>
          <t>1.</t>
        </r>
        <r>
          <rPr>
            <sz val="8"/>
            <color indexed="10"/>
            <rFont val="Tahoma"/>
            <family val="2"/>
          </rPr>
          <t xml:space="preserve"> Poorly assembled and maintained paper as-built records of existing water main installations makes accurate determination of system pipe length impossible.  Length of mains is guesstimated.</t>
        </r>
        <r>
          <rPr>
            <sz val="8"/>
            <color indexed="81"/>
            <rFont val="Tahoma"/>
            <family val="2"/>
          </rPr>
          <t xml:space="preserve">
</t>
        </r>
        <r>
          <rPr>
            <b/>
            <sz val="8"/>
            <color indexed="53"/>
            <rFont val="Tahoma"/>
            <family val="2"/>
          </rPr>
          <t>2.</t>
        </r>
        <r>
          <rPr>
            <sz val="8"/>
            <color indexed="53"/>
            <rFont val="Tahoma"/>
            <family val="2"/>
          </rPr>
          <t xml:space="preserve"> Paper records in poor or uncertain condition (no annual tracking of installations &amp; abandonments).  Poor procedures to ensure that new water mains installed by developers are accurately documented.</t>
        </r>
        <r>
          <rPr>
            <sz val="8"/>
            <color indexed="81"/>
            <rFont val="Tahoma"/>
            <family val="2"/>
          </rPr>
          <t xml:space="preserve">
</t>
        </r>
        <r>
          <rPr>
            <b/>
            <sz val="8"/>
            <color indexed="81"/>
            <rFont val="Tahoma"/>
            <family val="2"/>
          </rPr>
          <t>3.</t>
        </r>
        <r>
          <rPr>
            <sz val="8"/>
            <color indexed="81"/>
            <rFont val="Tahoma"/>
            <family val="2"/>
          </rPr>
          <t xml:space="preserve"> Conditions between 2 and 4
</t>
        </r>
        <r>
          <rPr>
            <b/>
            <sz val="8"/>
            <color indexed="20"/>
            <rFont val="Tahoma"/>
            <family val="2"/>
          </rPr>
          <t>4.</t>
        </r>
        <r>
          <rPr>
            <sz val="8"/>
            <color indexed="20"/>
            <rFont val="Tahoma"/>
            <family val="2"/>
          </rPr>
          <t xml:space="preserve"> Sound written policy and procedures exist for documenting new water main installations, but gaps in management result in a uncertain degree of error in tabulation of mains length.</t>
        </r>
        <r>
          <rPr>
            <sz val="8"/>
            <color indexed="81"/>
            <rFont val="Tahoma"/>
            <family val="2"/>
          </rPr>
          <t xml:space="preserve">
</t>
        </r>
        <r>
          <rPr>
            <b/>
            <sz val="8"/>
            <color indexed="81"/>
            <rFont val="Tahoma"/>
            <family val="2"/>
          </rPr>
          <t>5.</t>
        </r>
        <r>
          <rPr>
            <sz val="8"/>
            <color indexed="81"/>
            <rFont val="Tahoma"/>
            <family val="2"/>
          </rPr>
          <t xml:space="preserve"> Conditions between 4 and 6
</t>
        </r>
        <r>
          <rPr>
            <b/>
            <sz val="8"/>
            <color indexed="62"/>
            <rFont val="Tahoma"/>
            <family val="2"/>
          </rPr>
          <t>6.</t>
        </r>
        <r>
          <rPr>
            <sz val="8"/>
            <color indexed="62"/>
            <rFont val="Tahoma"/>
            <family val="2"/>
          </rPr>
          <t xml:space="preserve"> Sound written policy and procedures exist for permitting and commissioning new water mains.  Highly accurate paper records with regular field validation; or electronic records and asset management system in good condition.  Includes system backup.</t>
        </r>
        <r>
          <rPr>
            <sz val="8"/>
            <color indexed="81"/>
            <rFont val="Tahoma"/>
            <family val="2"/>
          </rPr>
          <t xml:space="preserve">
</t>
        </r>
        <r>
          <rPr>
            <b/>
            <sz val="8"/>
            <color indexed="81"/>
            <rFont val="Tahoma"/>
            <family val="2"/>
          </rPr>
          <t>7.</t>
        </r>
        <r>
          <rPr>
            <sz val="8"/>
            <color indexed="81"/>
            <rFont val="Tahoma"/>
            <family val="2"/>
          </rPr>
          <t xml:space="preserve"> Conditions between 6 and 8
</t>
        </r>
        <r>
          <rPr>
            <b/>
            <sz val="8"/>
            <color indexed="12"/>
            <rFont val="Tahoma"/>
            <family val="2"/>
          </rPr>
          <t>8.</t>
        </r>
        <r>
          <rPr>
            <sz val="8"/>
            <color indexed="12"/>
            <rFont val="Tahoma"/>
            <family val="2"/>
          </rPr>
          <t xml:space="preserve"> Sound written policy and procedures exist for permitting and commissioning new water mains.  Electronic recordkeeping such as a Geographical Information System (GIS) and asset management system are used to store and manage data.  </t>
        </r>
        <r>
          <rPr>
            <sz val="8"/>
            <color indexed="81"/>
            <rFont val="Tahoma"/>
            <family val="2"/>
          </rPr>
          <t xml:space="preserve">
</t>
        </r>
        <r>
          <rPr>
            <b/>
            <sz val="8"/>
            <color indexed="81"/>
            <rFont val="Tahoma"/>
            <family val="2"/>
          </rPr>
          <t>9.</t>
        </r>
        <r>
          <rPr>
            <sz val="8"/>
            <color indexed="81"/>
            <rFont val="Tahoma"/>
            <family val="2"/>
          </rPr>
          <t xml:space="preserve"> Conditions between 8 and 10
</t>
        </r>
        <r>
          <rPr>
            <b/>
            <sz val="8"/>
            <color indexed="17"/>
            <rFont val="Tahoma"/>
            <family val="2"/>
          </rPr>
          <t>10.</t>
        </r>
        <r>
          <rPr>
            <sz val="8"/>
            <color indexed="17"/>
            <rFont val="Tahoma"/>
            <family val="2"/>
          </rPr>
          <t xml:space="preserve"> Sound written policy exists for managing water mains extensions and replacements.  Geographic Information System (GIS) data and asset management database agree and random field validation proves truth of databases.  Records of annual field validation should be available for review.</t>
        </r>
      </text>
    </comment>
    <comment ref="E63" authorId="0" shapeId="0" xr:uid="{00000000-0006-0000-0100-000014000000}">
      <text>
        <r>
          <rPr>
            <b/>
            <sz val="8"/>
            <color indexed="10"/>
            <rFont val="Tahoma"/>
            <family val="2"/>
          </rPr>
          <t>1.</t>
        </r>
        <r>
          <rPr>
            <sz val="8"/>
            <color indexed="10"/>
            <rFont val="Tahoma"/>
            <family val="2"/>
          </rPr>
          <t xml:space="preserve"> Vague permitting (of new service connections) policy and poor paper recordkeeping of customer connections/billings result in suspect determination of the number of service connections, which may be 10-15% in error from actual count. </t>
        </r>
        <r>
          <rPr>
            <sz val="8"/>
            <color indexed="81"/>
            <rFont val="Tahoma"/>
            <family val="2"/>
          </rPr>
          <t xml:space="preserve">
</t>
        </r>
        <r>
          <rPr>
            <b/>
            <sz val="8"/>
            <color indexed="53"/>
            <rFont val="Tahoma"/>
            <family val="2"/>
          </rPr>
          <t>2.</t>
        </r>
        <r>
          <rPr>
            <sz val="8"/>
            <color indexed="53"/>
            <rFont val="Tahoma"/>
            <family val="2"/>
          </rPr>
          <t xml:space="preserve"> General permitting policy exists but paper records, procedural gaps, and weak oversight result in questionable total for number of connections, which may vary 5-10% of actual count. </t>
        </r>
        <r>
          <rPr>
            <sz val="8"/>
            <color indexed="81"/>
            <rFont val="Tahoma"/>
            <family val="2"/>
          </rPr>
          <t xml:space="preserve">   
</t>
        </r>
        <r>
          <rPr>
            <b/>
            <sz val="8"/>
            <color indexed="81"/>
            <rFont val="Tahoma"/>
            <family val="2"/>
          </rPr>
          <t>3.</t>
        </r>
        <r>
          <rPr>
            <sz val="8"/>
            <color indexed="81"/>
            <rFont val="Tahoma"/>
            <family val="2"/>
          </rPr>
          <t xml:space="preserve"> Conditions between 2 and 4
</t>
        </r>
        <r>
          <rPr>
            <b/>
            <sz val="8"/>
            <color indexed="20"/>
            <rFont val="Tahoma"/>
            <family val="2"/>
          </rPr>
          <t>4.</t>
        </r>
        <r>
          <rPr>
            <sz val="8"/>
            <color indexed="20"/>
            <rFont val="Tahoma"/>
            <family val="2"/>
          </rPr>
          <t xml:space="preserve"> Written account activation policy and procedures exist, but with some gaps in performance and oversight.  Computerized information management system is being brought online to replace dated paper recordkeeping system.  Reasonably accurate tracking of service connection installations &amp; abandonments; but count can be up to 5% in error from actual total.  </t>
        </r>
        <r>
          <rPr>
            <sz val="8"/>
            <color indexed="81"/>
            <rFont val="Tahoma"/>
            <family val="2"/>
          </rPr>
          <t xml:space="preserve">
</t>
        </r>
        <r>
          <rPr>
            <b/>
            <sz val="8"/>
            <color indexed="81"/>
            <rFont val="Tahoma"/>
            <family val="2"/>
          </rPr>
          <t>5.</t>
        </r>
        <r>
          <rPr>
            <sz val="8"/>
            <color indexed="81"/>
            <rFont val="Tahoma"/>
            <family val="2"/>
          </rPr>
          <t xml:space="preserve"> Conditions between 4 and 6
</t>
        </r>
        <r>
          <rPr>
            <b/>
            <sz val="8"/>
            <color indexed="62"/>
            <rFont val="Tahoma"/>
            <family val="2"/>
          </rPr>
          <t>6.</t>
        </r>
        <r>
          <rPr>
            <sz val="8"/>
            <color indexed="62"/>
            <rFont val="Tahoma"/>
            <family val="2"/>
          </rPr>
          <t xml:space="preserve"> Written new account activation and overall billing policies and procedures are adequate and reviewed periodically.  Computerized information management system is in use with annual installations &amp; abandonments totaled.  Very limited field verifications and audits.  Error in count of number of service connections is believed to be no more than 3%.</t>
        </r>
        <r>
          <rPr>
            <sz val="8"/>
            <color indexed="81"/>
            <rFont val="Tahoma"/>
            <family val="2"/>
          </rPr>
          <t xml:space="preserve">
</t>
        </r>
        <r>
          <rPr>
            <b/>
            <sz val="8"/>
            <color indexed="81"/>
            <rFont val="Tahoma"/>
            <family val="2"/>
          </rPr>
          <t>7.</t>
        </r>
        <r>
          <rPr>
            <sz val="8"/>
            <color indexed="81"/>
            <rFont val="Tahoma"/>
            <family val="2"/>
          </rPr>
          <t xml:space="preserve"> Conditions between 6 and 8
</t>
        </r>
        <r>
          <rPr>
            <b/>
            <sz val="8"/>
            <color indexed="12"/>
            <rFont val="Tahoma"/>
            <family val="2"/>
          </rPr>
          <t>8.</t>
        </r>
        <r>
          <rPr>
            <sz val="8"/>
            <color indexed="12"/>
            <rFont val="Tahoma"/>
            <family val="2"/>
          </rPr>
          <t xml:space="preserve"> Policies and procedures for new account activation and overall billing operations are written, well-structured and reviewed at least biannually.  Well-managed computerized information management system exists and routine, periodic field checks and internal system audits are conducted.  Counts of connections are no more than 2% in error. </t>
        </r>
        <r>
          <rPr>
            <sz val="8"/>
            <color indexed="81"/>
            <rFont val="Tahoma"/>
            <family val="2"/>
          </rPr>
          <t xml:space="preserve">
</t>
        </r>
        <r>
          <rPr>
            <b/>
            <sz val="8"/>
            <color indexed="81"/>
            <rFont val="Tahoma"/>
            <family val="2"/>
          </rPr>
          <t>9.</t>
        </r>
        <r>
          <rPr>
            <sz val="8"/>
            <color indexed="81"/>
            <rFont val="Tahoma"/>
            <family val="2"/>
          </rPr>
          <t xml:space="preserve"> Conditions between 8 and 10
</t>
        </r>
        <r>
          <rPr>
            <b/>
            <sz val="8"/>
            <color indexed="17"/>
            <rFont val="Tahoma"/>
            <family val="2"/>
          </rPr>
          <t>10.</t>
        </r>
        <r>
          <rPr>
            <sz val="8"/>
            <color indexed="17"/>
            <rFont val="Tahoma"/>
            <family val="2"/>
          </rPr>
          <t xml:space="preserve"> Sound written policy and well managed and audited procedures ensure reliable management of service connection population.  Computerized information management system, Customer Billing System, and Geographic Information System (GIS) information agree; field validation proves truth of databases.  Count of connections recorded as being in error is less than 1% of the entire population</t>
        </r>
      </text>
    </comment>
    <comment ref="E67" authorId="0" shapeId="0" xr:uid="{00000000-0006-0000-0100-000015000000}">
      <text>
        <r>
          <rPr>
            <b/>
            <sz val="8"/>
            <color indexed="81"/>
            <rFont val="Tahoma"/>
            <family val="2"/>
          </rPr>
          <t>Note:</t>
        </r>
        <r>
          <rPr>
            <sz val="8"/>
            <color indexed="81"/>
            <rFont val="Tahoma"/>
            <family val="2"/>
          </rPr>
          <t xml:space="preserve"> if customer water meters are located outside of the customer building next to the curb stop or boundary separating utility/customer responsibility, then the auditor should answer "Yes" to the question on the Reporting Worksheet asking about this.  If the answer is Yes, the grading description listed under the Grading of 10(a) will be followed, with a value of zero automatically entered at a Grading of 10.  See the Service Connection Diagram worksheet for a visual presentation of this distance.
</t>
        </r>
        <r>
          <rPr>
            <sz val="8"/>
            <color indexed="10"/>
            <rFont val="Tahoma"/>
            <family val="2"/>
          </rPr>
          <t>1. Vague policy exists to define the delineation of water utility ownership and customer ownership of the service connection piping.  Curb stops are perceived as the breakpoint but these have not been well-maintained or documented.  Most are buried or obscured.  Their location varies widely from site-to-site, and estimating this distance is arbitrary due to the unknown location of many curb stops.</t>
        </r>
        <r>
          <rPr>
            <sz val="8"/>
            <color indexed="81"/>
            <rFont val="Tahoma"/>
            <family val="2"/>
          </rPr>
          <t xml:space="preserve">
</t>
        </r>
        <r>
          <rPr>
            <sz val="8"/>
            <color indexed="53"/>
            <rFont val="Tahoma"/>
            <family val="2"/>
          </rPr>
          <t>2. Policy requires that the curb stop serves as the delineation point between water utility ownership and customer ownership of the service connection piping.  The piping from the water main to the curb stop is the property of the water utility; and the piping from the curb stop to the customer building is owned by the customer.  Curb stop locations are not well documented and the average distance is based upon a limited number of locations measured in the field.</t>
        </r>
        <r>
          <rPr>
            <sz val="8"/>
            <color indexed="81"/>
            <rFont val="Tahoma"/>
            <family val="2"/>
          </rPr>
          <t xml:space="preserve">
3. Conditions between 2 and 4
</t>
        </r>
        <r>
          <rPr>
            <sz val="8"/>
            <color indexed="20"/>
            <rFont val="Tahoma"/>
            <family val="2"/>
          </rPr>
          <t xml:space="preserve">4. Good policy requires that the curb stop serves as the delineation point between water utility ownership and customer ownership of the service connection piping.  Curb stops are generally installed as needed and are reasonably documented.  Their location varies widely from site-to-site, and an estimate of this distance is hindered by the availability of paper records of limited accuracy.   </t>
        </r>
        <r>
          <rPr>
            <sz val="8"/>
            <color indexed="81"/>
            <rFont val="Tahoma"/>
            <family val="2"/>
          </rPr>
          <t xml:space="preserve">
5. Conditions between 4 and 6
</t>
        </r>
        <r>
          <rPr>
            <sz val="8"/>
            <color indexed="62"/>
            <rFont val="Tahoma"/>
            <family val="2"/>
          </rPr>
          <t xml:space="preserve">6. Clear written policy exists to define utility/customer responsibility for service connection piping.  Accurate, well-maintained paper or basic electronic recordkeeping system exists.  Periodic field checks confirm piping lengths for a sample of customer properties.   </t>
        </r>
        <r>
          <rPr>
            <sz val="8"/>
            <color indexed="81"/>
            <rFont val="Tahoma"/>
            <family val="2"/>
          </rPr>
          <t xml:space="preserve">
7. Conditions between 6 and 8
</t>
        </r>
        <r>
          <rPr>
            <sz val="8"/>
            <color indexed="12"/>
            <rFont val="Tahoma"/>
            <family val="2"/>
          </rPr>
          <t>8. Clearly worded policy standardizes the location of curb stops and meters, which are inspected upon installation.  Accurate and well maintained electronic records exist with periodic field checks to confirm locations of service lines, curb stops and customer meter pits.  An accurate number of customer properties from the customer billing system allows for reliable averaging of this length.</t>
        </r>
        <r>
          <rPr>
            <sz val="8"/>
            <color indexed="81"/>
            <rFont val="Tahoma"/>
            <family val="2"/>
          </rPr>
          <t xml:space="preserve">
9. Conditions between 8 and 10
</t>
        </r>
        <r>
          <rPr>
            <sz val="8"/>
            <color indexed="17"/>
            <rFont val="Tahoma"/>
            <family val="2"/>
          </rPr>
          <t>10. Either of two conditions can be met for a grading of 10:
a) Customer water meters exist outside of customer buildings next to the curb stop or boundary separating utility/customer responsibility for service connection piping.  If so, answer "Yes" to the question on the Reporting Working asking about this condition.  A value of zero and a Grading of 10 are automatically entered in the Reporting Worksheet .
b). Meters exist inside customer buildings, or properties are unmetered.  In either case, answer "No" to the Reporting Worksheet question on meter location, and enter a distance determined by the auditor.   For a Grading of 10 this value must be a very reliable number from a Geographic Information System (GIS) and confirmed by a statistically valid number of field checks.</t>
        </r>
      </text>
    </comment>
    <comment ref="E69" authorId="0" shapeId="0" xr:uid="{00000000-0006-0000-0100-000016000000}">
      <text>
        <r>
          <rPr>
            <b/>
            <sz val="8"/>
            <color indexed="10"/>
            <rFont val="Tahoma"/>
            <family val="2"/>
          </rPr>
          <t>1.</t>
        </r>
        <r>
          <rPr>
            <sz val="8"/>
            <color indexed="10"/>
            <rFont val="Tahoma"/>
            <family val="2"/>
          </rPr>
          <t xml:space="preserve"> Available records are poorly assembled and maintained paper records of supply pump characteristics and water distribution system operating conditions.  Average pressure is guesstimated based upon this information and ground elevations from crude topographical maps.  Widely varying distribution system pressures due to undulating terrain, high system head loss and weak/erratic pressure controls further compromise the validity of the average pressure calculation. </t>
        </r>
        <r>
          <rPr>
            <sz val="8"/>
            <color indexed="81"/>
            <rFont val="Tahoma"/>
            <family val="2"/>
          </rPr>
          <t xml:space="preserve"> 
</t>
        </r>
        <r>
          <rPr>
            <b/>
            <sz val="8"/>
            <color indexed="53"/>
            <rFont val="Tahoma"/>
            <family val="2"/>
          </rPr>
          <t>2.</t>
        </r>
        <r>
          <rPr>
            <sz val="8"/>
            <color indexed="53"/>
            <rFont val="Tahoma"/>
            <family val="2"/>
          </rPr>
          <t xml:space="preserve"> Limited telemetry monitoring of scattered pumping station and water storage tank sites provides some static pressure data, which is recorded in handwritten logbooks.  Pressure data is gathered at individual sites only when low pressure complaints arise.  Average pressure is determined by averaging relatively crude data, and is affected by significant variation in ground elevations, system head loss and gaps in pressure controls in the distribution system. </t>
        </r>
        <r>
          <rPr>
            <sz val="8"/>
            <color indexed="81"/>
            <rFont val="Tahoma"/>
            <family val="2"/>
          </rPr>
          <t xml:space="preserve">
</t>
        </r>
        <r>
          <rPr>
            <b/>
            <sz val="8"/>
            <color indexed="81"/>
            <rFont val="Tahoma"/>
            <family val="2"/>
          </rPr>
          <t>3.</t>
        </r>
        <r>
          <rPr>
            <sz val="8"/>
            <color indexed="81"/>
            <rFont val="Tahoma"/>
            <family val="2"/>
          </rPr>
          <t xml:space="preserve"> Conditions between 2 and 4
</t>
        </r>
        <r>
          <rPr>
            <b/>
            <sz val="8"/>
            <color indexed="20"/>
            <rFont val="Tahoma"/>
            <family val="2"/>
          </rPr>
          <t>4.</t>
        </r>
        <r>
          <rPr>
            <sz val="8"/>
            <color indexed="20"/>
            <rFont val="Tahoma"/>
            <family val="2"/>
          </rPr>
          <t xml:space="preserve"> Effective pressure controls separate different pressure zones; moderate pressure variation across the system, occasional open boundary valves are discovered that breech pressure zones.  Basic telemetry monitoring of the distribution system logs pressure data electronically.  Pressure data gathered by gauges or dataloggers at fire hydrants or buildings when low pressure complaints arise, and during fire flow tests and system flushing.  Reliable topographical data exists.  Average pressure is calculated using this mix of data. </t>
        </r>
        <r>
          <rPr>
            <sz val="8"/>
            <color indexed="81"/>
            <rFont val="Tahoma"/>
            <family val="2"/>
          </rPr>
          <t xml:space="preserve">
</t>
        </r>
        <r>
          <rPr>
            <b/>
            <sz val="8"/>
            <color indexed="81"/>
            <rFont val="Tahoma"/>
            <family val="2"/>
          </rPr>
          <t>5.</t>
        </r>
        <r>
          <rPr>
            <sz val="8"/>
            <color indexed="81"/>
            <rFont val="Tahoma"/>
            <family val="2"/>
          </rPr>
          <t xml:space="preserve"> Conditions between 4 and 6
</t>
        </r>
        <r>
          <rPr>
            <b/>
            <sz val="8"/>
            <color indexed="62"/>
            <rFont val="Tahoma"/>
            <family val="2"/>
          </rPr>
          <t>6.</t>
        </r>
        <r>
          <rPr>
            <sz val="8"/>
            <color indexed="62"/>
            <rFont val="Tahoma"/>
            <family val="2"/>
          </rPr>
          <t xml:space="preserve"> Reliable pressure controls separate distinct pressure zones; only very occasional open boundary valves are encountered that breech pressure zones.  Well-covered telemetry monitoring of the distribution system (not just pumping at source treatment plants or wells) logs extensive pressure data electronically.  Pressure gathered by gauges/dataloggers at fire hydrants and buildings when low pressure complaints arise, and during fire flow tests and system flushing.  Average pressure is determined by using this mix of reliable data. </t>
        </r>
        <r>
          <rPr>
            <sz val="8"/>
            <color indexed="81"/>
            <rFont val="Tahoma"/>
            <family val="2"/>
          </rPr>
          <t xml:space="preserve">
</t>
        </r>
        <r>
          <rPr>
            <b/>
            <sz val="8"/>
            <color indexed="81"/>
            <rFont val="Tahoma"/>
            <family val="2"/>
          </rPr>
          <t>7.</t>
        </r>
        <r>
          <rPr>
            <sz val="8"/>
            <color indexed="81"/>
            <rFont val="Tahoma"/>
            <family val="2"/>
          </rPr>
          <t xml:space="preserve"> Conditions between 6 and 8
</t>
        </r>
        <r>
          <rPr>
            <b/>
            <sz val="8"/>
            <color indexed="12"/>
            <rFont val="Tahoma"/>
            <family val="2"/>
          </rPr>
          <t>8.</t>
        </r>
        <r>
          <rPr>
            <sz val="8"/>
            <color indexed="12"/>
            <rFont val="Tahoma"/>
            <family val="2"/>
          </rPr>
          <t xml:space="preserve"> Well-managed, discrete pressure zones exist with generally predictable pressure fluctuations.  A current full-scale SCADA System or similar realtime monitoring system exists to monitor the water distribution system and collect data, including real time pressure readings at representative sites across the system.  The average system pressure is determined from reliable monitoring system data. </t>
        </r>
        <r>
          <rPr>
            <sz val="8"/>
            <color indexed="81"/>
            <rFont val="Tahoma"/>
            <family val="2"/>
          </rPr>
          <t xml:space="preserve">
</t>
        </r>
        <r>
          <rPr>
            <b/>
            <sz val="8"/>
            <color indexed="81"/>
            <rFont val="Tahoma"/>
            <family val="2"/>
          </rPr>
          <t>9.</t>
        </r>
        <r>
          <rPr>
            <sz val="8"/>
            <color indexed="81"/>
            <rFont val="Tahoma"/>
            <family val="2"/>
          </rPr>
          <t xml:space="preserve"> Conditions between 8 and 10
</t>
        </r>
        <r>
          <rPr>
            <b/>
            <sz val="8"/>
            <color indexed="17"/>
            <rFont val="Tahoma"/>
            <family val="2"/>
          </rPr>
          <t>10.</t>
        </r>
        <r>
          <rPr>
            <sz val="8"/>
            <color indexed="17"/>
            <rFont val="Tahoma"/>
            <family val="2"/>
          </rPr>
          <t xml:space="preserve"> Well-managed pressure districts/zones, SCADA System and hydraulic model exist to give very precise pressure data across the water distribution system.  Average system pressure is reliably calculated from extensive, reliable, and cross-checked data.  Calculations are reported on an annual basis as a minimum.  Procedures are reviewed by a third party knowledgeable in the M36 methodology.  </t>
        </r>
      </text>
    </comment>
    <comment ref="E76" authorId="0" shapeId="0" xr:uid="{00000000-0006-0000-0100-000017000000}">
      <text>
        <r>
          <rPr>
            <b/>
            <sz val="8"/>
            <color indexed="10"/>
            <rFont val="Tahoma"/>
            <family val="2"/>
          </rPr>
          <t>1.</t>
        </r>
        <r>
          <rPr>
            <sz val="8"/>
            <color indexed="10"/>
            <rFont val="Tahoma"/>
            <family val="2"/>
          </rPr>
          <t xml:space="preserve"> Incomplete paper records and lack of financial accounting documentation on many operating functions makes calculation of water system operating costs a pure guesstimate.</t>
        </r>
        <r>
          <rPr>
            <sz val="8"/>
            <color indexed="81"/>
            <rFont val="Tahoma"/>
            <family val="2"/>
          </rPr>
          <t xml:space="preserve">
</t>
        </r>
        <r>
          <rPr>
            <b/>
            <sz val="8"/>
            <color indexed="53"/>
            <rFont val="Tahoma"/>
            <family val="2"/>
          </rPr>
          <t>2.</t>
        </r>
        <r>
          <rPr>
            <sz val="8"/>
            <color indexed="53"/>
            <rFont val="Tahoma"/>
            <family val="2"/>
          </rPr>
          <t xml:space="preserve"> Reasonably maintained, but incomplete, paper or electronic accounting provides data to estimate the major portion of water system operating costs. </t>
        </r>
        <r>
          <rPr>
            <sz val="8"/>
            <color indexed="81"/>
            <rFont val="Tahoma"/>
            <family val="2"/>
          </rPr>
          <t xml:space="preserve">
</t>
        </r>
        <r>
          <rPr>
            <b/>
            <sz val="8"/>
            <color indexed="81"/>
            <rFont val="Tahoma"/>
            <family val="2"/>
          </rPr>
          <t>3.</t>
        </r>
        <r>
          <rPr>
            <sz val="8"/>
            <color indexed="81"/>
            <rFont val="Tahoma"/>
            <family val="2"/>
          </rPr>
          <t xml:space="preserve"> Conditions between 2 and 4
</t>
        </r>
        <r>
          <rPr>
            <b/>
            <sz val="8"/>
            <color indexed="20"/>
            <rFont val="Tahoma"/>
            <family val="2"/>
          </rPr>
          <t>4.</t>
        </r>
        <r>
          <rPr>
            <sz val="8"/>
            <color indexed="20"/>
            <rFont val="Tahoma"/>
            <family val="2"/>
          </rPr>
          <t xml:space="preserve"> Electronic, industry-standard cost accounting system in place.  However, gaps in data are known to exist, periodic internal reviews are conducted but not a structured financial audit. </t>
        </r>
        <r>
          <rPr>
            <sz val="8"/>
            <color indexed="81"/>
            <rFont val="Tahoma"/>
            <family val="2"/>
          </rPr>
          <t xml:space="preserve">
</t>
        </r>
        <r>
          <rPr>
            <b/>
            <sz val="8"/>
            <color indexed="81"/>
            <rFont val="Tahoma"/>
            <family val="2"/>
          </rPr>
          <t>5.</t>
        </r>
        <r>
          <rPr>
            <sz val="8"/>
            <color indexed="81"/>
            <rFont val="Tahoma"/>
            <family val="2"/>
          </rPr>
          <t xml:space="preserve"> Conditions between 4 and 6
</t>
        </r>
        <r>
          <rPr>
            <b/>
            <sz val="8"/>
            <color indexed="62"/>
            <rFont val="Tahoma"/>
            <family val="2"/>
          </rPr>
          <t>6.</t>
        </r>
        <r>
          <rPr>
            <sz val="8"/>
            <color indexed="62"/>
            <rFont val="Tahoma"/>
            <family val="2"/>
          </rPr>
          <t xml:space="preserve"> Reliable electronic, industry-standard cost accounting system in place, with all pertinent water system operating costs tracked.  Data audited periodically by utility personnel, but not a Certified Public Accountant (CPA). </t>
        </r>
        <r>
          <rPr>
            <sz val="8"/>
            <color indexed="81"/>
            <rFont val="Tahoma"/>
            <family val="2"/>
          </rPr>
          <t xml:space="preserve"> 
</t>
        </r>
        <r>
          <rPr>
            <b/>
            <sz val="8"/>
            <color indexed="81"/>
            <rFont val="Tahoma"/>
            <family val="2"/>
          </rPr>
          <t>7.</t>
        </r>
        <r>
          <rPr>
            <sz val="8"/>
            <color indexed="81"/>
            <rFont val="Tahoma"/>
            <family val="2"/>
          </rPr>
          <t xml:space="preserve"> Conditions between 6 and 8
</t>
        </r>
        <r>
          <rPr>
            <b/>
            <sz val="8"/>
            <color indexed="12"/>
            <rFont val="Tahoma"/>
            <family val="2"/>
          </rPr>
          <t>8.</t>
        </r>
        <r>
          <rPr>
            <sz val="8"/>
            <color indexed="12"/>
            <rFont val="Tahoma"/>
            <family val="2"/>
          </rPr>
          <t xml:space="preserve"> Reliable electronic, industry-standard cost accounting system in place, with all pertinent water system operating costs tracked.  Data audited at least annually by utility personnel, and at least once every three years by third-party CPA.  </t>
        </r>
        <r>
          <rPr>
            <sz val="8"/>
            <color indexed="81"/>
            <rFont val="Tahoma"/>
            <family val="2"/>
          </rPr>
          <t xml:space="preserve">
</t>
        </r>
        <r>
          <rPr>
            <b/>
            <sz val="8"/>
            <color indexed="81"/>
            <rFont val="Tahoma"/>
            <family val="2"/>
          </rPr>
          <t>9.</t>
        </r>
        <r>
          <rPr>
            <sz val="8"/>
            <color indexed="81"/>
            <rFont val="Tahoma"/>
            <family val="2"/>
          </rPr>
          <t xml:space="preserve"> Conditions between 8 and 10
</t>
        </r>
        <r>
          <rPr>
            <b/>
            <sz val="8"/>
            <color indexed="17"/>
            <rFont val="Tahoma"/>
            <family val="2"/>
          </rPr>
          <t>10.</t>
        </r>
        <r>
          <rPr>
            <sz val="8"/>
            <color indexed="17"/>
            <rFont val="Tahoma"/>
            <family val="2"/>
          </rPr>
          <t xml:space="preserve"> Reliable electronic, industry-standard cost accounting system in place, with all pertinent water system operating costs tracked.  Data audited annually by utility personnel and annually also by third-party CPA.</t>
        </r>
      </text>
    </comment>
    <comment ref="E77" authorId="0" shapeId="0" xr:uid="{00000000-0006-0000-0100-000018000000}">
      <text>
        <r>
          <rPr>
            <b/>
            <sz val="8"/>
            <color indexed="81"/>
            <rFont val="Tahoma"/>
            <family val="2"/>
          </rPr>
          <t>n/a (not applicable).</t>
        </r>
        <r>
          <rPr>
            <sz val="8"/>
            <color indexed="81"/>
            <rFont val="Tahoma"/>
            <family val="2"/>
          </rPr>
          <t xml:space="preserve"> select n/a if entire customer population is unmetered, and/or only a fixed fee is charged for consumption.  
</t>
        </r>
        <r>
          <rPr>
            <b/>
            <sz val="8"/>
            <color indexed="10"/>
            <rFont val="Tahoma"/>
            <family val="2"/>
          </rPr>
          <t>1.</t>
        </r>
        <r>
          <rPr>
            <sz val="8"/>
            <color indexed="10"/>
            <rFont val="Tahoma"/>
            <family val="2"/>
          </rPr>
          <t xml:space="preserve"> Antiquated, cumbersome water rate structure is used, with periodic historic amendments that were poorly documented and implemented; resulting in classes of customers being billed inconsistent charges.  The actual composite billing rate likely differs significantly from the published water rate structure, but a lack of auditing leaves the degree of error indeterminate.</t>
        </r>
        <r>
          <rPr>
            <sz val="8"/>
            <color indexed="81"/>
            <rFont val="Tahoma"/>
            <family val="2"/>
          </rPr>
          <t xml:space="preserve">   
</t>
        </r>
        <r>
          <rPr>
            <b/>
            <sz val="8"/>
            <color indexed="53"/>
            <rFont val="Tahoma"/>
            <family val="2"/>
          </rPr>
          <t>2.</t>
        </r>
        <r>
          <rPr>
            <sz val="8"/>
            <color indexed="53"/>
            <rFont val="Tahoma"/>
            <family val="2"/>
          </rPr>
          <t xml:space="preserve"> Dated, cumbersome water rate structure, not always employed consistently in actual billing operations.  The actual composite billing rate is known to differ from the published water rate structure, and a reasonably accurate estimate of the degree of error is determined, allowing a composite billing rate to be quantified.</t>
        </r>
        <r>
          <rPr>
            <sz val="8"/>
            <color indexed="81"/>
            <rFont val="Tahoma"/>
            <family val="2"/>
          </rPr>
          <t xml:space="preserve">
</t>
        </r>
        <r>
          <rPr>
            <b/>
            <sz val="8"/>
            <color indexed="81"/>
            <rFont val="Tahoma"/>
            <family val="2"/>
          </rPr>
          <t>3.</t>
        </r>
        <r>
          <rPr>
            <sz val="8"/>
            <color indexed="81"/>
            <rFont val="Tahoma"/>
            <family val="2"/>
          </rPr>
          <t xml:space="preserve"> Conditions between 2 and 4
</t>
        </r>
        <r>
          <rPr>
            <b/>
            <sz val="8"/>
            <color indexed="20"/>
            <rFont val="Tahoma"/>
            <family val="2"/>
          </rPr>
          <t>4.</t>
        </r>
        <r>
          <rPr>
            <sz val="8"/>
            <color indexed="20"/>
            <rFont val="Tahoma"/>
            <family val="2"/>
          </rPr>
          <t xml:space="preserve"> Straight-forward water rate structure in use, but not updated in several years.  Billing operations reliably employ the rate structure.  The composite billing rate is derived from a single customer class such as residential customer accounts, neglecting the effect of different rates from varying customer classes.</t>
        </r>
        <r>
          <rPr>
            <sz val="8"/>
            <color indexed="81"/>
            <rFont val="Tahoma"/>
            <family val="2"/>
          </rPr>
          <t xml:space="preserve">       </t>
        </r>
        <r>
          <rPr>
            <b/>
            <sz val="8"/>
            <color indexed="81"/>
            <rFont val="Tahoma"/>
            <family val="2"/>
          </rPr>
          <t xml:space="preserve">
5.</t>
        </r>
        <r>
          <rPr>
            <sz val="8"/>
            <color indexed="81"/>
            <rFont val="Tahoma"/>
            <family val="2"/>
          </rPr>
          <t xml:space="preserve"> Conditions between 4 and 6
</t>
        </r>
        <r>
          <rPr>
            <b/>
            <sz val="8"/>
            <color indexed="62"/>
            <rFont val="Tahoma"/>
            <family val="2"/>
          </rPr>
          <t>6.</t>
        </r>
        <r>
          <rPr>
            <sz val="8"/>
            <color indexed="62"/>
            <rFont val="Tahoma"/>
            <family val="2"/>
          </rPr>
          <t xml:space="preserve"> Clearly written, up-to-date water rate structure is in force and is applied reliably in billing operations.  Composite customer rate is determined using a weighted average residential rate using volumes of water in each rate block.  </t>
        </r>
        <r>
          <rPr>
            <sz val="8"/>
            <color indexed="81"/>
            <rFont val="Tahoma"/>
            <family val="2"/>
          </rPr>
          <t xml:space="preserve">   
</t>
        </r>
        <r>
          <rPr>
            <b/>
            <sz val="8"/>
            <color indexed="81"/>
            <rFont val="Tahoma"/>
            <family val="2"/>
          </rPr>
          <t>7.</t>
        </r>
        <r>
          <rPr>
            <sz val="8"/>
            <color indexed="81"/>
            <rFont val="Tahoma"/>
            <family val="2"/>
          </rPr>
          <t xml:space="preserve"> Conditions between 6 and 8
</t>
        </r>
        <r>
          <rPr>
            <b/>
            <sz val="8"/>
            <color indexed="12"/>
            <rFont val="Tahoma"/>
            <family val="2"/>
          </rPr>
          <t>8.</t>
        </r>
        <r>
          <rPr>
            <sz val="8"/>
            <color indexed="12"/>
            <rFont val="Tahoma"/>
            <family val="2"/>
          </rPr>
          <t xml:space="preserve"> Effective water rate structure is in force and is applied reliably in billing operations.  Composite customer rate is determined using a weighted average composite consumption rate, which includes residential, commercial, industrial, institutional (CII), and any other distinct customer classes within the water rate structure.</t>
        </r>
        <r>
          <rPr>
            <sz val="8"/>
            <color indexed="81"/>
            <rFont val="Tahoma"/>
            <family val="2"/>
          </rPr>
          <t xml:space="preserve">         </t>
        </r>
        <r>
          <rPr>
            <b/>
            <sz val="8"/>
            <color indexed="81"/>
            <rFont val="Tahoma"/>
            <family val="2"/>
          </rPr>
          <t xml:space="preserve">
9.</t>
        </r>
        <r>
          <rPr>
            <sz val="8"/>
            <color indexed="81"/>
            <rFont val="Tahoma"/>
            <family val="2"/>
          </rPr>
          <t xml:space="preserve"> Conditions between 8 and 10
</t>
        </r>
        <r>
          <rPr>
            <b/>
            <sz val="8"/>
            <color indexed="17"/>
            <rFont val="Tahoma"/>
            <family val="2"/>
          </rPr>
          <t>10.</t>
        </r>
        <r>
          <rPr>
            <sz val="8"/>
            <color indexed="17"/>
            <rFont val="Tahoma"/>
            <family val="2"/>
          </rPr>
          <t xml:space="preserve"> Current, effective water rate structure is in force and applied reliably in billing operations.  The rate structure and calculations of composite rate - which includes residential, commercial, industrial, institutional (CII), and other distinct customer classes - are reviewed by a third party knowledgeable in the M36 methodology at least once every five years.</t>
        </r>
      </text>
    </comment>
    <comment ref="E78" authorId="0" shapeId="0" xr:uid="{00000000-0006-0000-0100-000019000000}">
      <text>
        <r>
          <rPr>
            <b/>
            <sz val="8"/>
            <color indexed="81"/>
            <rFont val="Tahoma"/>
            <family val="2"/>
          </rPr>
          <t xml:space="preserve">n/a (not applicable). </t>
        </r>
        <r>
          <rPr>
            <sz val="8"/>
            <color indexed="81"/>
            <rFont val="Tahoma"/>
            <family val="2"/>
          </rPr>
          <t xml:space="preserve">Note: if the water utility purchases/imports its entire water supply, then enter the unit purchase cost of the bulk water supply in the Reporting Worksheet with a grading of 10.
</t>
        </r>
        <r>
          <rPr>
            <b/>
            <sz val="8"/>
            <color indexed="10"/>
            <rFont val="Tahoma"/>
            <family val="2"/>
          </rPr>
          <t>1.</t>
        </r>
        <r>
          <rPr>
            <sz val="8"/>
            <color indexed="10"/>
            <rFont val="Tahoma"/>
            <family val="2"/>
          </rPr>
          <t xml:space="preserve"> Incomplete paper records and lack of documentation on primary operating functions (electric power and treatment costs most importantly) makes calculation of variable production costs a pure guesstimate.</t>
        </r>
        <r>
          <rPr>
            <sz val="8"/>
            <color indexed="81"/>
            <rFont val="Tahoma"/>
            <family val="2"/>
          </rPr>
          <t xml:space="preserve">
</t>
        </r>
        <r>
          <rPr>
            <b/>
            <sz val="8"/>
            <color indexed="53"/>
            <rFont val="Tahoma"/>
            <family val="2"/>
          </rPr>
          <t>2.</t>
        </r>
        <r>
          <rPr>
            <sz val="8"/>
            <color indexed="53"/>
            <rFont val="Tahoma"/>
            <family val="2"/>
          </rPr>
          <t xml:space="preserve"> Reasonably maintained, but incomplete, paper or electronic accounting provides data to roughly estimate the basic operations costs (pumping power costs and treatment costs) and calculate a unit variable production cost.</t>
        </r>
        <r>
          <rPr>
            <sz val="8"/>
            <color indexed="81"/>
            <rFont val="Tahoma"/>
            <family val="2"/>
          </rPr>
          <t xml:space="preserve"> 
</t>
        </r>
        <r>
          <rPr>
            <b/>
            <sz val="8"/>
            <color indexed="81"/>
            <rFont val="Tahoma"/>
            <family val="2"/>
          </rPr>
          <t>3.</t>
        </r>
        <r>
          <rPr>
            <sz val="8"/>
            <color indexed="81"/>
            <rFont val="Tahoma"/>
            <family val="2"/>
          </rPr>
          <t xml:space="preserve"> Conditions between 2 and 4
</t>
        </r>
        <r>
          <rPr>
            <b/>
            <sz val="8"/>
            <color indexed="20"/>
            <rFont val="Tahoma"/>
            <family val="2"/>
          </rPr>
          <t>4.</t>
        </r>
        <r>
          <rPr>
            <sz val="8"/>
            <color indexed="20"/>
            <rFont val="Tahoma"/>
            <family val="2"/>
          </rPr>
          <t xml:space="preserve"> Electronic, industry-standard cost accounting system in place.  Electric power and treatment costs are reliably tracked and allow accurate weighted calculation of unit variable production costs based on these two inputs and water imported purchase costs (if applicable). All costs are audited internally on a periodic basis.  </t>
        </r>
        <r>
          <rPr>
            <sz val="8"/>
            <color indexed="81"/>
            <rFont val="Tahoma"/>
            <family val="2"/>
          </rPr>
          <t xml:space="preserve">
</t>
        </r>
        <r>
          <rPr>
            <b/>
            <sz val="8"/>
            <color indexed="81"/>
            <rFont val="Tahoma"/>
            <family val="2"/>
          </rPr>
          <t>5.</t>
        </r>
        <r>
          <rPr>
            <sz val="8"/>
            <color indexed="81"/>
            <rFont val="Tahoma"/>
            <family val="2"/>
          </rPr>
          <t xml:space="preserve"> Conditions between 4 and 6
</t>
        </r>
        <r>
          <rPr>
            <b/>
            <sz val="8"/>
            <color indexed="62"/>
            <rFont val="Tahoma"/>
            <family val="2"/>
          </rPr>
          <t>6.</t>
        </r>
        <r>
          <rPr>
            <sz val="8"/>
            <color indexed="62"/>
            <rFont val="Tahoma"/>
            <family val="2"/>
          </rPr>
          <t xml:space="preserve"> Reliable electronic, industry-standard cost accounting system in place, with all pertinent water system operating costs tracked.  Pertinent additional costs beyond power, treatment and water imported purchase costs (if applicable) such as liability, residuals management, wear and tear on equipment, impending expansion of supply, are included in the unit variable production cost, as applicable.  The data is audited at least annually by utility personnel.  </t>
        </r>
        <r>
          <rPr>
            <sz val="8"/>
            <color indexed="81"/>
            <rFont val="Tahoma"/>
            <family val="2"/>
          </rPr>
          <t xml:space="preserve">
</t>
        </r>
        <r>
          <rPr>
            <b/>
            <sz val="8"/>
            <color indexed="81"/>
            <rFont val="Tahoma"/>
            <family val="2"/>
          </rPr>
          <t>7.</t>
        </r>
        <r>
          <rPr>
            <sz val="8"/>
            <color indexed="81"/>
            <rFont val="Tahoma"/>
            <family val="2"/>
          </rPr>
          <t xml:space="preserve"> Conditions between 6 and 8
</t>
        </r>
        <r>
          <rPr>
            <b/>
            <sz val="8"/>
            <color indexed="12"/>
            <rFont val="Tahoma"/>
            <family val="2"/>
          </rPr>
          <t>8.</t>
        </r>
        <r>
          <rPr>
            <sz val="8"/>
            <color indexed="12"/>
            <rFont val="Tahoma"/>
            <family val="2"/>
          </rPr>
          <t xml:space="preserve"> Reliable electronic, industry-standard cost accounting system in place, with all pertinent primary and secondary variable production and water imported purchase  (if applicable) costs tracked.  The data is audited at least annually by utility personnel, and at least once every three years by a third-party knowledgeable in the M36 methodology.  </t>
        </r>
        <r>
          <rPr>
            <b/>
            <sz val="8"/>
            <color indexed="81"/>
            <rFont val="Tahoma"/>
            <family val="2"/>
          </rPr>
          <t xml:space="preserve">
9.</t>
        </r>
        <r>
          <rPr>
            <sz val="8"/>
            <color indexed="81"/>
            <rFont val="Tahoma"/>
            <family val="2"/>
          </rPr>
          <t xml:space="preserve"> Conditions between 8 and 10
</t>
        </r>
        <r>
          <rPr>
            <b/>
            <sz val="8"/>
            <color indexed="17"/>
            <rFont val="Tahoma"/>
            <family val="2"/>
          </rPr>
          <t>10.</t>
        </r>
        <r>
          <rPr>
            <sz val="8"/>
            <color indexed="17"/>
            <rFont val="Tahoma"/>
            <family val="2"/>
          </rPr>
          <t xml:space="preserve"> Either of two conditions can be met to obtain a grading of 10:
1) Third party CPA audit of all pertinent primary and secondary variable production and water imported purchase (if applicable) costs on an annual basis, or:
2) Water supply is entirely purchased as bulk water imported, and the unit purchase cost - including </t>
        </r>
        <r>
          <rPr>
            <u/>
            <sz val="8"/>
            <color indexed="17"/>
            <rFont val="Tahoma"/>
            <family val="2"/>
          </rPr>
          <t>all</t>
        </r>
        <r>
          <rPr>
            <sz val="8"/>
            <color indexed="17"/>
            <rFont val="Tahoma"/>
            <family val="2"/>
          </rPr>
          <t xml:space="preserve"> applicable marginal supply costs - serves as the variable production cost.  If </t>
        </r>
        <r>
          <rPr>
            <u/>
            <sz val="8"/>
            <color indexed="17"/>
            <rFont val="Tahoma"/>
            <family val="2"/>
          </rPr>
          <t>all</t>
        </r>
        <r>
          <rPr>
            <sz val="8"/>
            <color indexed="17"/>
            <rFont val="Tahoma"/>
            <family val="2"/>
          </rPr>
          <t xml:space="preserve"> applicable marginal supply costs are not included in this figure, a grade of 10 should </t>
        </r>
        <r>
          <rPr>
            <u/>
            <sz val="8"/>
            <color indexed="17"/>
            <rFont val="Tahoma"/>
            <family val="2"/>
          </rPr>
          <t>not</t>
        </r>
        <r>
          <rPr>
            <sz val="8"/>
            <color indexed="17"/>
            <rFont val="Tahoma"/>
            <family val="2"/>
          </rPr>
          <t xml:space="preserve"> be selected.</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Andrew Chastain-Howley</author>
  </authors>
  <commentList>
    <comment ref="B9" authorId="0" shapeId="0" xr:uid="{00000000-0006-0000-0400-000001000000}">
      <text>
        <r>
          <rPr>
            <b/>
            <sz val="8"/>
            <color indexed="81"/>
            <rFont val="Tahoma"/>
            <family val="2"/>
          </rPr>
          <t>The volume of treated water input to that part of the water supply system to which the water balance relates. This can be from your own production facilities or bulk supplies from others.</t>
        </r>
        <r>
          <rPr>
            <sz val="8"/>
            <color indexed="81"/>
            <rFont val="Tahoma"/>
            <family val="2"/>
          </rPr>
          <t xml:space="preserve">
</t>
        </r>
      </text>
    </comment>
    <comment ref="E11" authorId="0" shapeId="0" xr:uid="{00000000-0006-0000-0400-000002000000}">
      <text>
        <r>
          <rPr>
            <b/>
            <sz val="8"/>
            <color indexed="81"/>
            <rFont val="Tahoma"/>
            <family val="2"/>
          </rPr>
          <t>The volume of metered and/or unmetered water taken by registered customers who are authorized to do so by the water supplier. This also includes water exported across operational boundaries. Authorized consumption may include items such as fire fighting, training, flushing of mains and sewers, street cleaning, public fountains and gardens etc. These may be billed, unbilled, metered or unmetered.</t>
        </r>
      </text>
    </comment>
    <comment ref="F11" authorId="0" shapeId="0" xr:uid="{00000000-0006-0000-0400-000003000000}">
      <text>
        <r>
          <rPr>
            <b/>
            <sz val="8"/>
            <color indexed="81"/>
            <rFont val="Tahoma"/>
            <family val="2"/>
          </rPr>
          <t>All consumption that is billed and authorized by the utility. This may include both metered and unmetered consumption.</t>
        </r>
      </text>
    </comment>
    <comment ref="G11" authorId="0" shapeId="0" xr:uid="{00000000-0006-0000-0400-000004000000}">
      <text>
        <r>
          <rPr>
            <b/>
            <sz val="8"/>
            <color indexed="81"/>
            <rFont val="Tahoma"/>
            <family val="2"/>
          </rPr>
          <t>All metered consumption which is billed. This includes all groups of customers such as domestic, commercial, industrial or institutional.  It DOES NOT include water transferred across operational boundaries (water exported).</t>
        </r>
      </text>
    </comment>
    <comment ref="H11" authorId="0" shapeId="0" xr:uid="{00000000-0006-0000-0400-000005000000}">
      <text>
        <r>
          <rPr>
            <b/>
            <sz val="8"/>
            <color indexed="81"/>
            <rFont val="Tahoma"/>
            <family val="2"/>
          </rPr>
          <t>Water which provides revenue to the utility.</t>
        </r>
      </text>
    </comment>
    <comment ref="G13" authorId="0" shapeId="0" xr:uid="{00000000-0006-0000-0400-000006000000}">
      <text>
        <r>
          <rPr>
            <b/>
            <sz val="8"/>
            <color indexed="81"/>
            <rFont val="Tahoma"/>
            <family val="2"/>
          </rPr>
          <t>All billed consumption which is calculated based on estimates or norms, but is not metered. This might be a small component in fully metered systems (for example billing based on estimates for the period a customer meter is out of order) but can be the key consumption component in systems without universal metering. This component may also include water transferred across operational boundaries (water exported) which is unmetered, but billed.</t>
        </r>
      </text>
    </comment>
    <comment ref="F15" authorId="0" shapeId="0" xr:uid="{00000000-0006-0000-0400-000007000000}">
      <text>
        <r>
          <rPr>
            <b/>
            <sz val="8"/>
            <color indexed="81"/>
            <rFont val="Tahoma"/>
            <family val="2"/>
          </rPr>
          <t xml:space="preserve">All consumption that is unbilled, but is still authorized by the utility. </t>
        </r>
      </text>
    </comment>
    <comment ref="G15" authorId="0" shapeId="0" xr:uid="{00000000-0006-0000-0400-000008000000}">
      <text>
        <r>
          <rPr>
            <b/>
            <sz val="8"/>
            <color indexed="81"/>
            <rFont val="Tahoma"/>
            <family val="2"/>
          </rPr>
          <t>Metered consumption which is for any reason unbilled. This might for example include metered consumption of the utility itself or water or water provided to institutions free of charge, including water transferred across operational boundaries (water exported) which is metered but unbilled.</t>
        </r>
      </text>
    </comment>
    <comment ref="H15" authorId="0" shapeId="0" xr:uid="{00000000-0006-0000-0400-000009000000}">
      <text>
        <r>
          <rPr>
            <b/>
            <sz val="8"/>
            <color indexed="81"/>
            <rFont val="Tahoma"/>
            <family val="2"/>
          </rPr>
          <t>Water which does not provide any revenue to the utility.</t>
        </r>
      </text>
    </comment>
    <comment ref="G17" authorId="0" shapeId="0" xr:uid="{00000000-0006-0000-0400-00000A000000}">
      <text>
        <r>
          <rPr>
            <b/>
            <sz val="8"/>
            <color indexed="81"/>
            <rFont val="Tahoma"/>
            <family val="2"/>
          </rPr>
          <t>Any kind of Authorized Consumption which is neither billed nor metered. This component typically includes items such as fire fighting, flushing of mains and sewers, street cleaning, frost protection, etc. In a well run utility it is a small component which is often substantially overestimated. Theoretically this might also include water transferred across operational boundaries (water exported) which is unmetered and unbilled, but this is unlikely.</t>
        </r>
      </text>
    </comment>
    <comment ref="E19" authorId="0" shapeId="0" xr:uid="{00000000-0006-0000-0400-00000B000000}">
      <text>
        <r>
          <rPr>
            <b/>
            <sz val="8"/>
            <color indexed="81"/>
            <rFont val="Tahoma"/>
            <family val="2"/>
          </rPr>
          <t>The difference between System Input volume and Authorized Consumption. Water losses can be considered as a total volume for the whole system, or for partial systems such as transmission or distribution schemes, or individual zones. Water losses consist of Real Losses and Apparent losses.</t>
        </r>
      </text>
    </comment>
    <comment ref="F19" authorId="0" shapeId="0" xr:uid="{00000000-0006-0000-0400-00000C000000}">
      <text>
        <r>
          <rPr>
            <b/>
            <sz val="8"/>
            <color indexed="81"/>
            <rFont val="Tahoma"/>
            <family val="2"/>
          </rPr>
          <t>Includes all types of inaccuracies associated with customer metering as well as data handling errors (meter reading and billing), plus unauthorized consumption (theft or illegal use). Note that over-registration of customer meters leads to under-estimation of Real Losses. Under-registration of customer meters leads to over-estimation of Real Losses.</t>
        </r>
      </text>
    </comment>
    <comment ref="G19" authorId="0" shapeId="0" xr:uid="{00000000-0006-0000-0400-00000D000000}">
      <text>
        <r>
          <rPr>
            <b/>
            <sz val="8"/>
            <color indexed="81"/>
            <rFont val="Tahoma"/>
            <family val="2"/>
          </rPr>
          <t>Any unauthorized use of water. This may include illegal water use from hydrants (for example for construction purposes), illegal connections, bypasses to consumption meters or meter tampering.</t>
        </r>
      </text>
    </comment>
    <comment ref="G21" authorId="0" shapeId="0" xr:uid="{00000000-0006-0000-0400-00000E000000}">
      <text>
        <r>
          <rPr>
            <b/>
            <sz val="8"/>
            <color indexed="81"/>
            <rFont val="Tahoma"/>
            <family val="2"/>
          </rPr>
          <t>Apparent water losses caused by customer meter inaccuracies.</t>
        </r>
      </text>
    </comment>
    <comment ref="G23" authorId="0" shapeId="0" xr:uid="{00000000-0006-0000-0400-00000F000000}">
      <text>
        <r>
          <rPr>
            <b/>
            <sz val="8"/>
            <color indexed="81"/>
            <rFont val="Tahoma"/>
            <family val="2"/>
          </rPr>
          <t>Apparent water losses caused by data handling errors in the meter reading and billing system.</t>
        </r>
      </text>
    </comment>
    <comment ref="F25" authorId="0" shapeId="0" xr:uid="{00000000-0006-0000-0400-000010000000}">
      <text>
        <r>
          <rPr>
            <b/>
            <sz val="8"/>
            <color indexed="81"/>
            <rFont val="Tahoma"/>
            <family val="2"/>
          </rPr>
          <t>Physical water losses from a pressurized system and the utilities storage tanks up to the point of customer use. In metered systems this is the customer meter. In unmetered systems this is the first point of use (the stop tap or tap) within the property. This is the annual volume lost through all types of leaks, bursts and overflows.</t>
        </r>
      </text>
    </comment>
    <comment ref="G25" authorId="0" shapeId="0" xr:uid="{00000000-0006-0000-0400-000011000000}">
      <text>
        <r>
          <rPr>
            <b/>
            <sz val="8"/>
            <color indexed="81"/>
            <rFont val="Tahoma"/>
            <family val="2"/>
          </rPr>
          <t>Physical water losses from a pressurized system up to the point of customer use. This is the annual volume lost through all types of leaks and bursts.</t>
        </r>
      </text>
    </comment>
    <comment ref="G27" authorId="0" shapeId="0" xr:uid="{00000000-0006-0000-0400-000012000000}">
      <text>
        <r>
          <rPr>
            <b/>
            <sz val="8"/>
            <color indexed="81"/>
            <rFont val="Tahoma"/>
            <family val="2"/>
          </rPr>
          <t>Physical water losses from the utility's storage tanks.</t>
        </r>
      </text>
    </comment>
    <comment ref="G29" authorId="0" shapeId="0" xr:uid="{00000000-0006-0000-0400-000013000000}">
      <text>
        <r>
          <rPr>
            <b/>
            <sz val="8"/>
            <color indexed="81"/>
            <rFont val="Tahoma"/>
            <family val="2"/>
          </rPr>
          <t>Physical water losses from the utility's service lines between the distribution main (corporation stop) and the point of customer use (stop tap).</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David Sayers</author>
  </authors>
  <commentList>
    <comment ref="C3" authorId="0" shapeId="0" xr:uid="{00000000-0006-0000-0500-000001000000}">
      <text>
        <r>
          <rPr>
            <b/>
            <sz val="8"/>
            <color indexed="81"/>
            <rFont val="Tahoma"/>
            <family val="2"/>
          </rPr>
          <t xml:space="preserve">Grade captured from Reporting Worksheet
</t>
        </r>
        <r>
          <rPr>
            <sz val="8"/>
            <color indexed="81"/>
            <rFont val="Tahoma"/>
            <family val="2"/>
          </rPr>
          <t>If default is used, grading value is set to fixed value regardless of what user enters</t>
        </r>
      </text>
    </comment>
    <comment ref="D3" authorId="0" shapeId="0" xr:uid="{00000000-0006-0000-0500-000002000000}">
      <text>
        <r>
          <rPr>
            <b/>
            <sz val="8"/>
            <color indexed="81"/>
            <rFont val="Tahoma"/>
            <family val="2"/>
          </rPr>
          <t xml:space="preserve">Original Weighting suggested by Committee </t>
        </r>
        <r>
          <rPr>
            <sz val="8"/>
            <color indexed="81"/>
            <rFont val="Tahoma"/>
            <family val="2"/>
          </rPr>
          <t xml:space="preserve">
Weighting is set to 0 for those parameters where value is allowed to be zero (import / export / billed unmetered)</t>
        </r>
      </text>
    </comment>
    <comment ref="E3" authorId="0" shapeId="0" xr:uid="{00000000-0006-0000-0500-000003000000}">
      <text>
        <r>
          <rPr>
            <b/>
            <sz val="8"/>
            <color indexed="81"/>
            <rFont val="Tahoma"/>
            <family val="2"/>
          </rPr>
          <t>New weighting is calculated for each item - "rebasing" to 100</t>
        </r>
      </text>
    </comment>
    <comment ref="F3" authorId="0" shapeId="0" xr:uid="{00000000-0006-0000-0500-000004000000}">
      <text>
        <r>
          <rPr>
            <b/>
            <sz val="8"/>
            <color indexed="81"/>
            <rFont val="Tahoma"/>
            <family val="2"/>
          </rPr>
          <t>Creates "multiplier" for what each point (1-10) is worth</t>
        </r>
      </text>
    </comment>
    <comment ref="G3" authorId="0" shapeId="0" xr:uid="{00000000-0006-0000-0500-000005000000}">
      <text>
        <r>
          <rPr>
            <b/>
            <sz val="8"/>
            <color indexed="81"/>
            <rFont val="Tahoma"/>
            <family val="2"/>
          </rPr>
          <t xml:space="preserve">Calculates score (col C x col F) a perfect score will </t>
        </r>
        <r>
          <rPr>
            <b/>
            <u/>
            <sz val="8"/>
            <color indexed="81"/>
            <rFont val="Tahoma"/>
            <family val="2"/>
          </rPr>
          <t xml:space="preserve">always </t>
        </r>
        <r>
          <rPr>
            <b/>
            <sz val="8"/>
            <color indexed="81"/>
            <rFont val="Tahoma"/>
            <family val="2"/>
          </rPr>
          <t xml:space="preserve">= 100. </t>
        </r>
      </text>
    </comment>
    <comment ref="H3" authorId="0" shapeId="0" xr:uid="{00000000-0006-0000-0500-000006000000}">
      <text>
        <r>
          <rPr>
            <b/>
            <sz val="8"/>
            <color indexed="81"/>
            <rFont val="Tahoma"/>
            <family val="2"/>
          </rPr>
          <t>Calcualates where most points were lost to identify top 3 areas for focus</t>
        </r>
      </text>
    </comment>
    <comment ref="I3" authorId="0" shapeId="0" xr:uid="{00000000-0006-0000-0500-000007000000}">
      <text>
        <r>
          <rPr>
            <b/>
            <sz val="8"/>
            <color indexed="81"/>
            <rFont val="Tahoma"/>
            <family val="2"/>
          </rPr>
          <t>Unique ranking formula</t>
        </r>
        <r>
          <rPr>
            <sz val="8"/>
            <color indexed="81"/>
            <rFont val="Tahoma"/>
            <family val="2"/>
          </rPr>
          <t>; avoids limitation with Excel RANK() function of duplicate ranks</t>
        </r>
      </text>
    </comment>
    <comment ref="K3" authorId="0" shapeId="0" xr:uid="{00000000-0006-0000-0500-000008000000}">
      <text>
        <r>
          <rPr>
            <b/>
            <sz val="8"/>
            <color indexed="81"/>
            <rFont val="Tahoma"/>
            <family val="2"/>
          </rPr>
          <t>Determined based on if a weight has been calcaulted, as weighting is not calculated if value is zero</t>
        </r>
      </text>
    </comment>
    <comment ref="M3" authorId="0" shapeId="0" xr:uid="{00000000-0006-0000-0500-000009000000}">
      <text>
        <r>
          <rPr>
            <b/>
            <sz val="8"/>
            <color indexed="81"/>
            <rFont val="Tahoma"/>
            <family val="2"/>
          </rPr>
          <t xml:space="preserve">Identifies if grade is required and has been missed </t>
        </r>
      </text>
    </comment>
  </commentList>
</comments>
</file>

<file path=xl/sharedStrings.xml><?xml version="1.0" encoding="utf-8"?>
<sst xmlns="http://schemas.openxmlformats.org/spreadsheetml/2006/main" count="977" uniqueCount="771">
  <si>
    <t>Improvements to attain higher data grading for "Unbilled Unmetered Consumption" component:</t>
  </si>
  <si>
    <t>Improvements to attain higher data grading for "Unauthorized Consumption" component:</t>
  </si>
  <si>
    <t>The user may develop an audit based on one of three unit selections: 
1) Million Gallons (US)
2) Megalitres (Thousand Cubic Metres)
3) Acre-feet
Once this selection has been made in the instructions sheet, all calculations are made on the basis of the chosen units. Should the user wish to make additional conversions, a unit converter is provided below (use drop down menus to select units from the yellow unit boxes):</t>
  </si>
  <si>
    <t>Systematic data handling errors:</t>
  </si>
  <si>
    <t>Water imported:</t>
  </si>
  <si>
    <t>Water exported:</t>
  </si>
  <si>
    <t>Authorized Consumption</t>
  </si>
  <si>
    <t>Billed Authorized Consumption</t>
  </si>
  <si>
    <t>Revenue Water</t>
  </si>
  <si>
    <t>Billed Unmetered Consumption</t>
  </si>
  <si>
    <t>Unbilled Authorized Consumption</t>
  </si>
  <si>
    <t>Unbilled Metered Consumption</t>
  </si>
  <si>
    <t>Non-Revenue Water (NRW)</t>
  </si>
  <si>
    <t>Unbilled Unmetered Consumption</t>
  </si>
  <si>
    <t>Unauthorized Consumption</t>
  </si>
  <si>
    <t>Customer Metering Inaccuracies</t>
  </si>
  <si>
    <t>Leakage on Transmission and/or Distribution Mains</t>
  </si>
  <si>
    <t>Leakage and Overflows at Utility's Storage Tanks</t>
  </si>
  <si>
    <t>Unauthorized consumption</t>
  </si>
  <si>
    <t>Systematic data handling errors</t>
  </si>
  <si>
    <t>NON-REVENUE WATER</t>
  </si>
  <si>
    <t>Average operating pressure</t>
  </si>
  <si>
    <t>Total annual cost of operating the water system</t>
  </si>
  <si>
    <t>Customer retail unit cost</t>
  </si>
  <si>
    <t xml:space="preserve">Extent of unauthorized consumption is unknown due to unclear policies and poor recordkeeping.  Total unauthorized consumption is guesstimated.  </t>
  </si>
  <si>
    <t>&gt;1 = higher customer cost</t>
  </si>
  <si>
    <t>&lt;1 = lower customer cost</t>
  </si>
  <si>
    <t>$/100 cubic feet (ccf)</t>
  </si>
  <si>
    <t>.</t>
  </si>
  <si>
    <t>Master meter error adjustment</t>
  </si>
  <si>
    <t>Water Imported</t>
  </si>
  <si>
    <t>Water Exported</t>
  </si>
  <si>
    <t xml:space="preserve">Dated written procedures permit billing exemption for specific accounts, such as municipal properties, but are unclear regarding certain other types of accounts.  Meter reading is given low priority and is sporadic.   Consumption is quantified from meter readings where available.  The total number of unbilled, unmetered accounts must be estimated along with consumption volumes.          </t>
  </si>
  <si>
    <t>Refine data collection practices and establish as routine business process</t>
  </si>
  <si>
    <t>Annual water audit is a reliable gauge of year-to-year water efficiency standing</t>
  </si>
  <si>
    <t>Short-term loss control</t>
  </si>
  <si>
    <t>Research information on leak detection programs.  Begin flowcharting analysis of customer billing system</t>
  </si>
  <si>
    <t>Conduct loss assessment investigations on a sample portion of the system: customer meter testing, leak survey, unauthorized consumption, etc.</t>
  </si>
  <si>
    <t>Establish ongoing mechanisms for customer meter accuracy testing, active leakage control and infrastructure monitoring</t>
  </si>
  <si>
    <t>Refine, enhance or expand ongoing programs based upon economic justification</t>
  </si>
  <si>
    <t>Superior reliability, capacity and integrity of the water supply infrastructure make it relatively immune to supply shortages.</t>
  </si>
  <si>
    <t>Water resources are costly to develop or purchase; ability to increase revenues via water rates is greatly limited because of regulation or low ratepayer affordability.</t>
  </si>
  <si>
    <t>Cost to purchase or obtain/treat water is low, as are rates charged to customers.</t>
  </si>
  <si>
    <t>Operating with system leakage above this level would require expansion of existing infrastructure and/or additional water resources to meet the demand.</t>
  </si>
  <si>
    <t>Existing water supply infrastructure capability is sufficient to meet long-term demand as long as reasonable leakage management controls are in place.</t>
  </si>
  <si>
    <t xml:space="preserve">Available resources are greatly limited and are very difficult and/or environmentally unsound to develop.  </t>
  </si>
  <si>
    <t>Water resources are believed to be sufficient to meet long-term needs, but demand management interventions (leakage management, water conservation) are included in the long-term planning.</t>
  </si>
  <si>
    <t>Water resources are plentiful, reliable, and easily extracted.</t>
  </si>
  <si>
    <t>Although operational and financial considerations may allow a long-term ILI greater than 8.0, such a level of leakage is not an effective utilization of water as a resource.  Setting a target level greater than 8.0 - other than as an incremental goal to a smaller long-term target - is discouraged.</t>
  </si>
  <si>
    <t>Water resources can be developed or purchased at reasonable expense; periodic water rate increases can be feasibly imposed and are tolerated by the customer population.</t>
  </si>
  <si>
    <t xml:space="preserve">Unauthorized consumption is a known occurrence, but its extent is a mystery.  There are no requirements to document observed events, but periodic field reports capture some of these occurrences.  Total unauthorized consumption is approximated from this limited data.  </t>
  </si>
  <si>
    <t>conditions between 2 and 4</t>
  </si>
  <si>
    <t xml:space="preserve">Available records are poorly assembled and maintained paper records of supply pump characteristics and water distribution system operating conditions.  Average pressure is guesstimated based upon this information and ground elevations from crude topographical maps.  Widely varying distribution system pressures due to undulating terrain, high system head loss and weak/erratic pressure controls further compromise the validity of the average pressure calculation.  </t>
  </si>
  <si>
    <t>Megalitres (thousand cubic metres)</t>
  </si>
  <si>
    <t>Acre-feet</t>
  </si>
  <si>
    <t>Million gallons (US)</t>
  </si>
  <si>
    <t>Units and Conversions</t>
  </si>
  <si>
    <t>Select n/a if the water utility's supply is exclusively from its own water resources (no bulk purchased/ imported water)</t>
  </si>
  <si>
    <t>Less than 25% of imported water sources are metered, remaining sources are estimated.  No regular meter accuracy testing.</t>
  </si>
  <si>
    <t xml:space="preserve">25% - 50% of imported water sources are metered; other sources estimated.  No regular meter accuracy testing. </t>
  </si>
  <si>
    <t>Select n/a if the water utility sells no bulk water to neighboring water utilities (no exported water sales)</t>
  </si>
  <si>
    <t>Less than 25% of exported water sources are metered, remaining sources are estimated.  No regular meter accuracy testing.</t>
  </si>
  <si>
    <t>Non-revenue water as percent by cost of operating system:</t>
  </si>
  <si>
    <t>Non-revenue water as percent by volume of Water Supplied:</t>
  </si>
  <si>
    <t>select n/a only if the entire customer population is unmetered. In such a case the volume entered must be zero.</t>
  </si>
  <si>
    <t>Note: all water utilities incur some amount of this error. Even in water utilities with unmetered customer populations and fixed rate billing, errors occur in annual billing tabulations. Enter a positive value for the volume and select a grading.</t>
  </si>
  <si>
    <t>n/a</t>
  </si>
  <si>
    <t>Real Losses (Current Annual Real Losses or CARL)</t>
  </si>
  <si>
    <t>Infrastructure Leakage Index (ILI) [CARL/UARL]:</t>
  </si>
  <si>
    <t>From Above, Real Losses = Current Annual Real Losses (CARL):</t>
  </si>
  <si>
    <t xml:space="preserve">If the calculated Infrastructure Leakage Index (ILI) value for your system is 1.0 or less, two possibilities exist.   a) you are maintaining your leakage at low levels in a class with the top worldwide performers in leakage control.  b) A portion of your data may be flawed, causing your losses to be greatly understated.  This is likely if you calculate a low ILI value but do not employ extensive leakage control practices in your operations.  In such cases it is beneficial to validate the data by performing field measurements to confirm the accuracy of production and customer meters, or to identify any other potential sources of error in the data.  </t>
  </si>
  <si>
    <t xml:space="preserve">Effective pressure controls separate different pressure zones; moderate pressure variation across the system, occasional open boundary valves are discovered that breech pressure zones.  Basic telemetry monitoring of the distribution system logs pressure data electronically.  Pressure data gathered by gauges or dataloggers at fire hydrants or buildings when low pressure complaints arise, and during fire flow tests and system flushing.  Reliable topographical data exists.  Average pressure is calculated using this mix of data. </t>
  </si>
  <si>
    <t>COST DATA</t>
  </si>
  <si>
    <t>REFERENCES:</t>
  </si>
  <si>
    <t>DEVELOPED BY:</t>
  </si>
  <si>
    <t>Unavoidable Annual Real Losses (UARL):</t>
  </si>
  <si>
    <t>$/Year</t>
  </si>
  <si>
    <t>Unavoidable Annual Real Losses (UARL)</t>
  </si>
  <si>
    <t>Infrastructure Leakage Index (ILI)</t>
  </si>
  <si>
    <t>Target ILI Range</t>
  </si>
  <si>
    <t>Operational Considerations</t>
  </si>
  <si>
    <t>Water Resources Considerations</t>
  </si>
  <si>
    <t>Financial Considerations</t>
  </si>
  <si>
    <t>1.0 - 3.0</t>
  </si>
  <si>
    <t>Greater than 8.0</t>
  </si>
  <si>
    <t>Improvements to attain higher data grading for "Customer Retail Unit Cost" component:</t>
  </si>
  <si>
    <t>Continue incremental improvements in short-term and long-term loss control interventions</t>
  </si>
  <si>
    <t>Target-setting</t>
  </si>
  <si>
    <t>Establish long-term apparent and real loss reduction goals (+10 year horizon)</t>
  </si>
  <si>
    <t>Establish mid-range (5 year horizon) apparent and real loss reduction goals</t>
  </si>
  <si>
    <t>Evaluate and refine loss control goals on a yearly basis</t>
  </si>
  <si>
    <t>Benchmarking</t>
  </si>
  <si>
    <t>Water Imported:</t>
  </si>
  <si>
    <t>Water Exported:</t>
  </si>
  <si>
    <t>Coherent policies exist for some forms of unbilled, unmetered consumption but others await closer evaluation. Reasonable recordkeeping for the managed uses exists and allows for annual volumes to be quantified by inference, but unsupervised uses are guesstimated.</t>
  </si>
  <si>
    <t>Poorly assembled and maintained paper as-built records of existing water main installations makes accurate determination of system pipe length impossible.  Length of mains is guesstimated.</t>
  </si>
  <si>
    <t>Apparent Losses per service connection per day:</t>
  </si>
  <si>
    <t>Real Losses per length of main per day*:</t>
  </si>
  <si>
    <t>Apparent Losses:</t>
  </si>
  <si>
    <t>Grade</t>
  </si>
  <si>
    <t>Weight</t>
  </si>
  <si>
    <t>Grade*Weight</t>
  </si>
  <si>
    <t>Score</t>
  </si>
  <si>
    <t>adjWeight</t>
  </si>
  <si>
    <t>adjFactor</t>
  </si>
  <si>
    <t>droppedPts</t>
  </si>
  <si>
    <t>Billed metered</t>
  </si>
  <si>
    <t>Billed unmetered</t>
  </si>
  <si>
    <t>Unbilled metered</t>
  </si>
  <si>
    <t>Unbilled unmetered</t>
  </si>
  <si>
    <t>Number of active AND inactive service connections</t>
  </si>
  <si>
    <t>Total annual cost of operating water system</t>
  </si>
  <si>
    <t>Preliminary Comparisons - can begin to rely upon the Infrastructure Leakage Index (ILI) for performance comparisons for real losses (see below table)</t>
  </si>
  <si>
    <t>Performance Benchmarking - ILI is meaningful in comparing real loss standing</t>
  </si>
  <si>
    <t>Identify Best Practices/ Best in class - the ILI is very reliable as a real loss performance indicator for best in class service</t>
  </si>
  <si>
    <t>Water Audit Data Validity Level / Score</t>
  </si>
  <si>
    <t>Clearly written, up-to-date water rate structure is in force and is applied reliably in billing operations.  Composite customer rate is determined using a weighted average residential rate using volumes of water in each rate block.</t>
  </si>
  <si>
    <t>acre-feet</t>
  </si>
  <si>
    <t>The ratio of the Current Annual Real Losses (Real Losses) to the Unavoidable Annual Real Losses (UARL).  The ILI is a highly effective performance indicator for comparing (benchmarking) the performance of utilities in operational management of real losses.</t>
  </si>
  <si>
    <t>Water Losses</t>
  </si>
  <si>
    <t>Apparent Losses</t>
  </si>
  <si>
    <t>Real Losses</t>
  </si>
  <si>
    <t>Length of mains</t>
  </si>
  <si>
    <t>Incomplete paper records and lack of documentation on primary operating functions (electric power and treatment costs most importantly) makes calculation of variable production costs a pure guesstimate</t>
  </si>
  <si>
    <t xml:space="preserve">select n/a if all billing-exempt consumption is unmetered.  </t>
  </si>
  <si>
    <t>Default value of 1.25% of system input volume is employed</t>
  </si>
  <si>
    <t>Real Losses = Water Losses - Apparent Losses:</t>
  </si>
  <si>
    <t>Customer retail unit cost (applied to Apparent Losses)</t>
  </si>
  <si>
    <t>Number of active AND inactive service connections:</t>
  </si>
  <si>
    <t>Customer retail unit cost (applied to Apparent Losses):</t>
  </si>
  <si>
    <t>Variable production cost (applied to Real Losses):</t>
  </si>
  <si>
    <t>Volume from own sources:</t>
  </si>
  <si>
    <t>Billed metered:</t>
  </si>
  <si>
    <t>Billed unmetered:</t>
  </si>
  <si>
    <t>Unbilled metered:</t>
  </si>
  <si>
    <t>Unbilled unmetered:</t>
  </si>
  <si>
    <t>Unauthorized consumption:</t>
  </si>
  <si>
    <t>Customer metering inaccuracies:</t>
  </si>
  <si>
    <t>Length of mains:</t>
  </si>
  <si>
    <t>Average operating pressure:</t>
  </si>
  <si>
    <t>Total annual cost of operating water system:</t>
  </si>
  <si>
    <t>Has grade</t>
  </si>
  <si>
    <t>Needs grade</t>
  </si>
  <si>
    <t>Grade Problem</t>
  </si>
  <si>
    <t>uniqueRank</t>
  </si>
  <si>
    <t>default(s) being used</t>
  </si>
  <si>
    <t>D</t>
  </si>
  <si>
    <t>Water Loss Control Planning Guide</t>
  </si>
  <si>
    <t>Functional Focus Area</t>
  </si>
  <si>
    <t>Dated, cumbersome water rate structure, not always employed consistently in actual billing operations.  The actual composite billing rate is known to differ from the published water rate structure, and a reasonably accurate estimate of the degree of error is determined, allowing a composite billing rate to be quantified.</t>
  </si>
  <si>
    <t>Straight-forward water rate structure in use, but not updated in several years.  Billing operations reliably employ the rate structure.  The composite billing rate is derived from a single customer class such as residential customer accounts, neglecting the effect of different rates from varying customer classes.</t>
  </si>
  <si>
    <r>
      <t>Level I</t>
    </r>
    <r>
      <rPr>
        <sz val="10"/>
        <rFont val="Arial"/>
        <family val="2"/>
      </rPr>
      <t xml:space="preserve"> (0-25)</t>
    </r>
  </si>
  <si>
    <t>Water imported</t>
  </si>
  <si>
    <t>Volume from own sources</t>
  </si>
  <si>
    <t>Water exported</t>
  </si>
  <si>
    <t>Unbilled unmetered consumption</t>
  </si>
  <si>
    <t>Unbilled metered consumption</t>
  </si>
  <si>
    <t>Customer metering inaccuracies</t>
  </si>
  <si>
    <t xml:space="preserve">Clearly written policy identifies the types of accounts given a billing exemption, with emphasis on keeping such accounts to a minimum.  Customer meter management and meter reading for these accounts is given proper priority and is reliably conducted.  Regular auditing confirms this.  Total water consumption for these accounts is taken from reliable readings from accurate meters.         </t>
  </si>
  <si>
    <t>Note: if the water utility purchases/imports its entire water supply, then enter the unit purchase cost of the bulk water supply in the Reporting Worksheet with a grading of 10</t>
  </si>
  <si>
    <t>Improvements to attain higher data grading for "Customer meter inaccuracy volume" component:</t>
  </si>
  <si>
    <t>Improvements to attain higher data grading for "Systematic Data Handling Error volume" component:</t>
  </si>
  <si>
    <t>Improvements to attain higher data grading for "Length of Water Mains" component:</t>
  </si>
  <si>
    <t>Improvements to attain higher data grading for "Average Length of Customer Service Line" component:</t>
  </si>
  <si>
    <t xml:space="preserve">Value calculated based on input data </t>
  </si>
  <si>
    <t>Water Audit Report for:</t>
  </si>
  <si>
    <t>Reporting Year:</t>
  </si>
  <si>
    <t>SYSTEM DATA</t>
  </si>
  <si>
    <t>Variable production cost (applied to Real Losses)</t>
  </si>
  <si>
    <t>Annual cost of Apparent Losses:</t>
  </si>
  <si>
    <t>Value can be entered by user</t>
  </si>
  <si>
    <t>Conditions between 
2 and 4</t>
  </si>
  <si>
    <t>Conditions between 
4 and 6</t>
  </si>
  <si>
    <t>Conditions between 
6 and 8</t>
  </si>
  <si>
    <t>Conditions between 
8 and 10</t>
  </si>
  <si>
    <t>Systematic Data Handling Errors</t>
  </si>
  <si>
    <t>Begin to assemble economic business case for long-term needs based upon improved data becoming available through the water audit process.</t>
  </si>
  <si>
    <t>Conduct detailed planning, budgeting and launch of comprehensive improvements for metering, billing or infrastructure management</t>
  </si>
  <si>
    <t>Improvements to attain higher data grading for "Variable Production Cost" component:</t>
  </si>
  <si>
    <t xml:space="preserve">Billing practices exempt certain accounts, such as municipal buildings, but written policies do not exist; and a reliable count of unbilled metered accounts is unavailable.  Meter upkeep and meter reading on these accounts is rare and not considered a priority.  Due to poor recordkeeping and lack of auditing, water consumption for all such accounts is purely guesstimated.       </t>
  </si>
  <si>
    <t xml:space="preserve">Billing practices exempt certain accounts, such as municipal buildings, but only scattered, dated written directives exist to justify this practice.  A reliable count of unbilled metered accounts is unavailable.  Sporadic meter replacement and meter reading occurs on an as-needed basis.  The total annual water consumption for all unbilled, metered accounts is estimated based upon approximating the number of accounts and assigning consumption from actively billed accounts of same meter size.        </t>
  </si>
  <si>
    <t>Audit Data Collection</t>
  </si>
  <si>
    <t>Launch auditing and loss control team; address production metering deficiencies</t>
  </si>
  <si>
    <t>Analyze business process for customer metering and billing functions and water supply operations. Identify data gaps.</t>
  </si>
  <si>
    <t>Establish/revise policies and procedures for data collection</t>
  </si>
  <si>
    <t xml:space="preserve">Vague permitting (of new service connections) policy and poor paper recordkeeping of customer connections/billings result in suspect determination of the number of service connections, which may be 10-15% in error from actual count. </t>
  </si>
  <si>
    <t xml:space="preserve">General permitting policy exists but paper records, procedural gaps, and weak oversight result in questionable total for number of connections, which may vary 5-10% of actual count.    </t>
  </si>
  <si>
    <t>million gallons (US)</t>
  </si>
  <si>
    <t>$/1000 gallons (US)</t>
  </si>
  <si>
    <t>NON-REVENUE WATER:</t>
  </si>
  <si>
    <t>Billed Water Exported</t>
  </si>
  <si>
    <t>Less than 1.0</t>
  </si>
  <si>
    <t xml:space="preserve">     Otherwise not valid</t>
  </si>
  <si>
    <t>If instructions is gallons Then</t>
  </si>
  <si>
    <t>IF(AND(G55&gt;40,G50*32+G51&gt;3000),(((5.41*G50)+(0.15*G51)+(7.5*(G51*G53/5280)))*G55)/1000000,"Not Valid")))</t>
  </si>
  <si>
    <t xml:space="preserve">     If pressure &gt; 40 AND length of mains * 32 + # connections &gt; 3000 Then</t>
  </si>
  <si>
    <t xml:space="preserve">        (((5.41 * length of mains) + (0.15 * # connections) + (7.5 * (# service connections * avg len of pipe / 5280))) * pressure)   /1000000</t>
  </si>
  <si>
    <t xml:space="preserve">          (((18 * length of mains) + (0.8 * # connections) + (25 * (# service connections * avg len of pipe / 1000))) * pressure)   /1000</t>
  </si>
  <si>
    <t>Logic:</t>
  </si>
  <si>
    <t>If instructions is acre-feet Then</t>
  </si>
  <si>
    <t>wlc@awwa.org</t>
  </si>
  <si>
    <t>Value:</t>
  </si>
  <si>
    <t>Pcnt:</t>
  </si>
  <si>
    <t>(reallosses * real loss cost per unit) + (apparent losses * apparent loss cost per unit * unit conversion factor)</t>
  </si>
  <si>
    <t>Average length of customer service line</t>
  </si>
  <si>
    <t>Average length of customer service line:</t>
  </si>
  <si>
    <t>Use of Option Buttons</t>
  </si>
  <si>
    <r>
      <t>m</t>
    </r>
    <r>
      <rPr>
        <vertAlign val="superscript"/>
        <sz val="10"/>
        <rFont val="Arial"/>
        <family val="2"/>
      </rPr>
      <t>3</t>
    </r>
  </si>
  <si>
    <t>million</t>
  </si>
  <si>
    <t>thousand cubic metres</t>
  </si>
  <si>
    <t>These cells contain recommended default values</t>
  </si>
  <si>
    <t>=IF(ISERROR(1/G60),"",(((G24+G25+G40)*G62)+(G37*G61)*INDEX(Sheet1!B2:D4,MATCH(Instructions!G24,Sheet1!A2:A4,0),MATCH('Reporting Worksheet'!I61:J61,Sheet1!B1:D1,0)))/G60)</t>
  </si>
  <si>
    <t>gallons / cubic foot</t>
  </si>
  <si>
    <t>gallons / litre</t>
  </si>
  <si>
    <t>litres / gallon</t>
  </si>
  <si>
    <t>Conversion table</t>
  </si>
  <si>
    <t>converting FROM volume unit TO pricing UNITS</t>
  </si>
  <si>
    <t>sq feet / acre</t>
  </si>
  <si>
    <t>If volume unit is blank show nothing</t>
  </si>
  <si>
    <t>If instructions is tcm Then</t>
  </si>
  <si>
    <t xml:space="preserve">     If pressure &gt; 25 AND length of mains * 20 + # connections &gt; 3000 Then</t>
  </si>
  <si>
    <t xml:space="preserve">Written policies regarding billing exemptions exist but adherence in practice is questionable.  Metering and meter reading for municipal buildings is reliable but sporadic for other unbilled metered accounts.  Periodic auditing of such accounts is conducted.  Water consumption is quantified directly from meter readings where available, but the majority of the consumption is estimated.       </t>
  </si>
  <si>
    <t xml:space="preserve">Written policy identifies the types of accounts granted a billing exemption.  Customer meter management and meter reading are considered secondary priorities, but meter reading is conducted at least annually to obtain consumption volumes for the annual water audit.  High level auditing of billing records ensures that a reliable census of such accounts exists.          </t>
  </si>
  <si>
    <t xml:space="preserve">25% - 50% of exported water sources are metered; other sources estimated.  No regular meter accuracy testing. </t>
  </si>
  <si>
    <t>Select this grading only if the water utility purchases/imports all of its water resources (i.e. has no sources of its own)</t>
  </si>
  <si>
    <t>Improvements to attain higher data grading for "Volume from own Sources" component:</t>
  </si>
  <si>
    <t>=IF(ISBLANK(Instructions!$G$26),"",IF(Instructions!$G$26="Megalitres (thousand cubic metres)",IF(AND(G55&gt;25,G50*20+G51&gt;3000),(((18*G50)+(0.8*G51)+(25*(G51*G53/1000)))*G55/1000000)*365,"Not valid"),IF(AND(G55&gt;40,G50*32+G51&gt;3000),(((5.41*G50)+(0.15*G51)+(7.5*(G51*G53/5280)))*G55)/1000000*365,"Not Valid")))</t>
  </si>
  <si>
    <t>From</t>
  </si>
  <si>
    <t>To</t>
  </si>
  <si>
    <t>Million Gallons (US)</t>
  </si>
  <si>
    <t>Multiply By…</t>
  </si>
  <si>
    <t>FROM:                                        TO:</t>
  </si>
  <si>
    <t>=</t>
  </si>
  <si>
    <t>Convert From…</t>
  </si>
  <si>
    <t>Converts to…..</t>
  </si>
  <si>
    <t>Enter Units:</t>
  </si>
  <si>
    <t>APPARENT LOSSES</t>
  </si>
  <si>
    <t xml:space="preserve"> Based on the information provided, audit accuracy can be improved by addressing the following components:</t>
  </si>
  <si>
    <t>Improvements to attain higher data grading for "Average Operating Pressure" component:</t>
  </si>
  <si>
    <t xml:space="preserve">Reasonably maintained, but incomplete, paper or electronic accounting provides data to estimate the major portion of water system operating costs. </t>
  </si>
  <si>
    <t>- Alegre, H., Hirner, W., Baptista, J. and Parena, R. Performance Indicators for Water Supply Services.  IWA Publishing ‘Manual of Best Practice’ Series, 2000.  ISBN 1 900222 272</t>
  </si>
  <si>
    <t>WATER LOSSES:</t>
  </si>
  <si>
    <t>&gt;3.0 -5.0</t>
  </si>
  <si>
    <t>&gt;5.0 - 8.0</t>
  </si>
  <si>
    <t>AUTHORIZED CONSUMPTION:</t>
  </si>
  <si>
    <t>WATER SUPPLIED:</t>
  </si>
  <si>
    <t>WATER SUPPLIED</t>
  </si>
  <si>
    <t>AUTHORIZED CONSUMPTION</t>
  </si>
  <si>
    <t>WATER LOSSES (Water Supplied - Authorized Consumption)</t>
  </si>
  <si>
    <t>Annual cost of Real Losses:</t>
  </si>
  <si>
    <t>losses</t>
  </si>
  <si>
    <t>cost</t>
  </si>
  <si>
    <t>cost =</t>
  </si>
  <si>
    <t>$/1000 litres</t>
  </si>
  <si>
    <t>Own Sources</t>
  </si>
  <si>
    <t>(Adjusted for known errors)</t>
  </si>
  <si>
    <t>Water Supplied</t>
  </si>
  <si>
    <t>customer cost</t>
  </si>
  <si>
    <t>marginal production</t>
  </si>
  <si>
    <t xml:space="preserve">Extent of unbilled, unmetered consumption is unknown due to unclear policies and poor recordkeeping.  Total consumption is quantified based upon a purely subjective estimate.  </t>
  </si>
  <si>
    <t>n/a (not applicable). Select n/a only if the entire customer population is not metered and is billed for water service on a flat or fixed rate basis. In such a case the volume entered must be zero.</t>
  </si>
  <si>
    <t>Improvements to attain higher data grading for "Billed Metered Consumption" component:</t>
  </si>
  <si>
    <t xml:space="preserve">If n/a is selected because the customer meter population is unmetered, consider establishing a new policy to meter the customer population and employ water rates based upon metered volumes. </t>
  </si>
  <si>
    <t>Improvements to attain higher data grading for "Billed Unmetered Consumption" component:</t>
  </si>
  <si>
    <t>Clear extent of unbilled, unmetered consumption is unknown, but a number of events are randomly documented each year, confirming existence of such consumption, but without sufficient documentation to quantify an accurate estimate of the annual volume consumed.</t>
  </si>
  <si>
    <t>Improvements to attain higher data grading for "Total Annual Cost of Operating the Water System" component:</t>
  </si>
  <si>
    <t xml:space="preserve">Reasonably maintained, but incomplete, paper or electronic accounting provides data to roughly estimate the basic operations costs (pumping power costs and treatment costs) and calculate a unit variable production cost. </t>
  </si>
  <si>
    <t>All consumption that is billed and authorized by the utility. This may include both metered and unmetered consumption. See "Authorized Consumption" for more information.</t>
  </si>
  <si>
    <t>Item Name</t>
  </si>
  <si>
    <t>Description</t>
  </si>
  <si>
    <t>Leakage on Service Connections</t>
  </si>
  <si>
    <t>Not broken down</t>
  </si>
  <si>
    <t xml:space="preserve">At least 75% of exported water sources are metered, meter accuracy testing and/or electronic calibration conducted annually.  Less than 25% of tested meters are found outside of +/- 6% accuracy.  </t>
  </si>
  <si>
    <t>For validity scores of 50 or below, the shaded blocks should not be focus areas until better data validity is achieved.</t>
  </si>
  <si>
    <r>
      <t>Level II</t>
    </r>
    <r>
      <rPr>
        <sz val="10"/>
        <rFont val="Arial"/>
        <family val="2"/>
      </rPr>
      <t xml:space="preserve"> (26-50)</t>
    </r>
  </si>
  <si>
    <r>
      <t>Level III</t>
    </r>
    <r>
      <rPr>
        <sz val="10"/>
        <rFont val="Arial"/>
        <family val="2"/>
      </rPr>
      <t xml:space="preserve"> (51-70)</t>
    </r>
  </si>
  <si>
    <r>
      <t>Level IV</t>
    </r>
    <r>
      <rPr>
        <sz val="10"/>
        <rFont val="Arial"/>
        <family val="2"/>
      </rPr>
      <t xml:space="preserve"> (71-90)</t>
    </r>
  </si>
  <si>
    <r>
      <t>Level V</t>
    </r>
    <r>
      <rPr>
        <sz val="10"/>
        <rFont val="Arial"/>
        <family val="2"/>
      </rPr>
      <t xml:space="preserve"> (91-100)</t>
    </r>
  </si>
  <si>
    <t>Stay abreast of improvements in metering, meter reading, billing, leakage management and infrastructure rehabilitation</t>
  </si>
  <si>
    <t>Long-term loss control</t>
  </si>
  <si>
    <t>Begin to assess long-term needs requiring large expenditure: customer meter replacement, water main replacement program, new customer billing system or Automatic Meter Reading (AMR) system.</t>
  </si>
  <si>
    <t>Billed Metered Consumption (water exported is removed)</t>
  </si>
  <si>
    <t>Enter negative % or value for under-registration</t>
  </si>
  <si>
    <t>Enter positive % or value for over-registration</t>
  </si>
  <si>
    <r>
      <t xml:space="preserve">Number of </t>
    </r>
    <r>
      <rPr>
        <u/>
        <sz val="10"/>
        <rFont val="Arial"/>
        <family val="2"/>
      </rPr>
      <t>active AND inactive</t>
    </r>
    <r>
      <rPr>
        <sz val="10"/>
        <rFont val="Arial"/>
        <family val="2"/>
      </rPr>
      <t xml:space="preserve"> service connections:</t>
    </r>
  </si>
  <si>
    <r>
      <t>Average</t>
    </r>
    <r>
      <rPr>
        <sz val="10"/>
        <rFont val="Arial"/>
        <family val="2"/>
      </rPr>
      <t xml:space="preserve"> length of customer service line:</t>
    </r>
  </si>
  <si>
    <r>
      <t xml:space="preserve"> </t>
    </r>
    <r>
      <rPr>
        <b/>
        <u/>
        <sz val="11"/>
        <rFont val="Arial Narrow"/>
        <family val="2"/>
      </rPr>
      <t>WATER AUDIT DATA VALIDITY SCORE:</t>
    </r>
  </si>
  <si>
    <r>
      <t xml:space="preserve"> </t>
    </r>
    <r>
      <rPr>
        <b/>
        <u/>
        <sz val="11"/>
        <rFont val="Arial Narrow"/>
        <family val="2"/>
      </rPr>
      <t>PRIORITY AREAS FOR ATTENTION:</t>
    </r>
  </si>
  <si>
    <t>Comment</t>
  </si>
  <si>
    <t>Vol. from own sources:</t>
  </si>
  <si>
    <t>Auth. Consumption</t>
  </si>
  <si>
    <t xml:space="preserve">If Yes, </t>
  </si>
  <si>
    <t>If Yes, force grade to 10</t>
  </si>
  <si>
    <t>If Yes, force length to 0</t>
  </si>
  <si>
    <t>= Water Losses + Unbilled Metered + Unbilled Unmetered</t>
  </si>
  <si>
    <t>MME</t>
  </si>
  <si>
    <t>Raw Vol</t>
  </si>
  <si>
    <t xml:space="preserve">              &lt;----------- Enter grading in column 'E' and 'J' ----------&gt;</t>
  </si>
  <si>
    <t>total weighting pts</t>
  </si>
  <si>
    <t>=            Water Losses:</t>
  </si>
  <si>
    <t>+              Real Losses:</t>
  </si>
  <si>
    <t>look into locking radio buttons in place - they often seem to move</t>
  </si>
  <si>
    <t>Format Shape &gt; Properties - Object positioning: Move and Size with cells</t>
  </si>
  <si>
    <t>Format Shape &gt; Properties - Object positioning: Move but don't size with cells</t>
  </si>
  <si>
    <t>Total Pts for Water Supplied (top 6 items):</t>
  </si>
  <si>
    <t>Grading weighting points in red</t>
  </si>
  <si>
    <t>Master meter error adjustment (Import)</t>
  </si>
  <si>
    <t>Master meter error adjustment (Export)</t>
  </si>
  <si>
    <t>System Attributes:</t>
  </si>
  <si>
    <t>Performance Indicators:</t>
  </si>
  <si>
    <t>We could add a 3rd option - another box for $ input (at user defined rate)</t>
  </si>
  <si>
    <t>Water exported: master meter error adjustment:</t>
  </si>
  <si>
    <t>Water imported: master meter error adjustment:</t>
  </si>
  <si>
    <t>Pcnt(1) or Val(2)</t>
  </si>
  <si>
    <t>Real Losses per service connection per day:</t>
  </si>
  <si>
    <r>
      <t xml:space="preserve"> AWWA Free Water Audit Software:
 </t>
    </r>
    <r>
      <rPr>
        <b/>
        <u/>
        <sz val="14"/>
        <color indexed="9"/>
        <rFont val="Arial"/>
        <family val="2"/>
      </rPr>
      <t>Reporting Worksheet</t>
    </r>
  </si>
  <si>
    <r>
      <t xml:space="preserve"> AWWA Free Water Audit Software:
 </t>
    </r>
    <r>
      <rPr>
        <b/>
        <u/>
        <sz val="14"/>
        <color indexed="9"/>
        <rFont val="Arial"/>
        <family val="2"/>
      </rPr>
      <t>System Attributes and Performance Indicators</t>
    </r>
  </si>
  <si>
    <t>Audit Item</t>
  </si>
  <si>
    <t>General Comment:</t>
  </si>
  <si>
    <t>FALSE=VPC;TRUE=CRUC</t>
  </si>
  <si>
    <t>Valued at</t>
  </si>
  <si>
    <t>Return to Reporting Worksheet to change this assumpiton</t>
  </si>
  <si>
    <r>
      <t xml:space="preserve"> AWWA Free Water Audit Software:
 </t>
    </r>
    <r>
      <rPr>
        <b/>
        <u/>
        <sz val="14"/>
        <color indexed="9"/>
        <rFont val="Arial"/>
        <family val="2"/>
      </rPr>
      <t>Dashboard</t>
    </r>
  </si>
  <si>
    <t xml:space="preserve">State / Province: </t>
  </si>
  <si>
    <t xml:space="preserve">Country: </t>
  </si>
  <si>
    <t xml:space="preserve">Name of Contact Person: </t>
  </si>
  <si>
    <t xml:space="preserve">Name of City / Utility: </t>
  </si>
  <si>
    <t xml:space="preserve">City/Town/Municipality: </t>
  </si>
  <si>
    <t xml:space="preserve">Email Address: </t>
  </si>
  <si>
    <t xml:space="preserve">Start Date: </t>
  </si>
  <si>
    <t>Please begin by providing the following information</t>
  </si>
  <si>
    <t xml:space="preserve">This spreadsheet-based water audit tool is designed to help quantify and track water losses associated with water distribution systems and identify areas for improved efficiency and cost recovery. It provides a "top-down" summary water audit format, and is not meant to take the place of a full-scale, comprehensive water audit format. </t>
  </si>
  <si>
    <t>Use of Option  (Radio) Buttons:</t>
  </si>
  <si>
    <t>All audit data are entered on the</t>
  </si>
  <si>
    <t>Reporting Worksheet</t>
  </si>
  <si>
    <t xml:space="preserve">PWSID / Other ID: </t>
  </si>
  <si>
    <t>Non Revenue Water</t>
  </si>
  <si>
    <t xml:space="preserve"> AWWA Free Water Audit Software:
 Customer Service Line Diagrams</t>
  </si>
  <si>
    <t>If you have questions or comments regarding the software please contact us via email at:</t>
  </si>
  <si>
    <t xml:space="preserve">The spreadsheet contains several separate worksheets. Sheets can be accessed using the tabs towards the bottom of the screen, or by clicking the buttons below. </t>
  </si>
  <si>
    <t>The following worksheets are available by clicking the buttons below or selecting the tabs along the bottom of the page</t>
  </si>
  <si>
    <r>
      <t xml:space="preserve"> AWWA Free Water Audit Software:
 </t>
    </r>
    <r>
      <rPr>
        <b/>
        <u/>
        <sz val="14"/>
        <color indexed="9"/>
        <rFont val="Arial"/>
        <family val="2"/>
      </rPr>
      <t>Determining Water Loss Standing</t>
    </r>
  </si>
  <si>
    <t>General Guidelines for Setting a Target ILI
(without doing a full economic analysis of leakage control options)</t>
  </si>
  <si>
    <r>
      <t xml:space="preserve">Once data have been entered into the Reporting Worksheet, the performance indicators are automatically calculated.  How does a water utility operator know how well his or her system is performing?  The AWWA Water Loss Control Committee provided the following table to assist water utilities is gauging an approximate Infrastructure Leakage Index (ILI) that is appropriate for their water system and local conditions.  The lower the amount of leakage and real losses that exist in the system, then the lower the ILI value will be. 
</t>
    </r>
    <r>
      <rPr>
        <b/>
        <u/>
        <sz val="11"/>
        <rFont val="Arial"/>
        <family val="2"/>
      </rPr>
      <t>Note:</t>
    </r>
    <r>
      <rPr>
        <b/>
        <sz val="11"/>
        <rFont val="Arial"/>
        <family val="2"/>
      </rPr>
      <t xml:space="preserve"> </t>
    </r>
    <r>
      <rPr>
        <sz val="11"/>
        <rFont val="Arial"/>
        <family val="2"/>
      </rPr>
      <t xml:space="preserve">this table offers an approximate guideline for leakage reduction target-setting.  The best means of setting such targets include performing an economic assessment of various loss control methods.  However, this table is useful if such an assessment is not possible. </t>
    </r>
  </si>
  <si>
    <r>
      <t>- Kunkel, G. et al, 2003.  Water Loss Control Committee Report: Applying Worldwide Best Management Practices in Water Loss Control.  Journal AWWA, 95:8:65
- AWWA Water Audits and Loss Control Programs, M36 Publication, 3</t>
    </r>
    <r>
      <rPr>
        <i/>
        <vertAlign val="superscript"/>
        <sz val="12"/>
        <rFont val="Arial"/>
        <family val="2"/>
      </rPr>
      <t>rd</t>
    </r>
    <r>
      <rPr>
        <i/>
        <sz val="12"/>
        <rFont val="Arial"/>
        <family val="2"/>
      </rPr>
      <t xml:space="preserve"> Edition, 2009
- Service Connection Diagrams courtesy of Ronnie McKenzie, WRP Pty Ltd. </t>
    </r>
  </si>
  <si>
    <r>
      <t xml:space="preserve"> AWWA Free Water Audit Software:
 </t>
    </r>
    <r>
      <rPr>
        <b/>
        <u/>
        <sz val="14"/>
        <color indexed="9"/>
        <rFont val="Arial"/>
        <family val="2"/>
      </rPr>
      <t>Acknowledgements</t>
    </r>
  </si>
  <si>
    <t>Volume From Own Sources</t>
  </si>
  <si>
    <t>Syst. data handling errors</t>
  </si>
  <si>
    <t>Cust. metering inaccuracies</t>
  </si>
  <si>
    <t>Unauth. consumption</t>
  </si>
  <si>
    <t xml:space="preserve">          Cost $</t>
  </si>
  <si>
    <r>
      <t xml:space="preserve">Show me the </t>
    </r>
    <r>
      <rPr>
        <u/>
        <sz val="10"/>
        <rFont val="Arial"/>
        <family val="2"/>
      </rPr>
      <t>VOLUME</t>
    </r>
    <r>
      <rPr>
        <sz val="10"/>
        <rFont val="Arial"/>
        <family val="2"/>
      </rPr>
      <t xml:space="preserve"> of Non-Revenue Water</t>
    </r>
  </si>
  <si>
    <r>
      <t xml:space="preserve">Show me the </t>
    </r>
    <r>
      <rPr>
        <u/>
        <sz val="10"/>
        <rFont val="Arial"/>
        <family val="2"/>
      </rPr>
      <t>COST</t>
    </r>
    <r>
      <rPr>
        <sz val="10"/>
        <rFont val="Arial"/>
        <family val="2"/>
      </rPr>
      <t xml:space="preserve"> of Non-Revenue Water</t>
    </r>
  </si>
  <si>
    <t xml:space="preserve">Testing... different object positioning settings to try to prevent radio buttons from moving - seeing this on many completed audits. Evaluate performance during beta testing
</t>
  </si>
  <si>
    <t>Format Shape &gt; Properties - Was forced to change this to: size with cells because of "Can't shift objects off sheet error"</t>
  </si>
  <si>
    <t>Data for plotting the Cost/Volume Bar Chart on the Dashboard</t>
  </si>
  <si>
    <t>Data for plotting the Water Balance with volume-proportional bars on the Dashboard</t>
  </si>
  <si>
    <t xml:space="preserve">Year: </t>
  </si>
  <si>
    <t>The following guidance will help you complete the Audit</t>
  </si>
  <si>
    <t>Vol. from own sources: Master meter error adjustment:</t>
  </si>
  <si>
    <t xml:space="preserve">Are customer meters typically located at the curbstop or property line? </t>
  </si>
  <si>
    <t>1.5 BGD</t>
  </si>
  <si>
    <t xml:space="preserve">This is the average pressure in the distribution system that is the subject of the water audit.  Many water utilities have a calibrated hydraulic model of their water distribution system.  For these utilities, the hydraulic model can be utilized to obtain a very accurate quantity of average pressure.  In the absence of a hydraulic model, the average pressure may be approximated by obtaining readings of static water pressure from a representative sample of fire hydrants or other system access points evenly located across the system.  A weighted average of the pressure can be assembled; but be sure to take into account the elevation of the fire hydrants, which typically exist several feet higher than the level of buried water pipelines.  If the water utility is compiling the water audit for the first time, the average pressure can be approximated, but with a low data grading.  In subsequent years of auditing, effort should be made to improve the accuracy of the average pressure quantity.  This will then qualify the value for a higher data grading.  </t>
  </si>
  <si>
    <r>
      <t xml:space="preserve">All metered consumption which is billed to retail customers, including all groups of customers such as domestic, commercial, industrial or institutional.  </t>
    </r>
    <r>
      <rPr>
        <b/>
        <sz val="10"/>
        <rFont val="Arial"/>
        <family val="2"/>
      </rPr>
      <t xml:space="preserve">It does NOT include water supplied to neighboring utilities (water exported) which is metered and billed.  Be sure to subtract any consumption for exported water sales that may be included in these billing roles.  Water supplied as exports to neighboring water utilities should be included only in the Water Exported component. </t>
    </r>
    <r>
      <rPr>
        <sz val="10"/>
        <rFont val="Arial"/>
        <family val="2"/>
      </rPr>
      <t xml:space="preserve"> The metered consumption data can be taken directly from billing records for the water audit period.  The accuracy of yearly metered consumption data can be refined by including an adjustment to account for customer meter reading lag time since not all customer meters are read on the same day of the meter reading period.  However additional analysis is necessary to determine the lag time adjustment value, which may or may not be significant.</t>
    </r>
  </si>
  <si>
    <r>
      <t xml:space="preserve">All billed consumption which is calculated based on estimates or norms from water usage sites that have been determined </t>
    </r>
    <r>
      <rPr>
        <u/>
        <sz val="10"/>
        <rFont val="Arial"/>
        <family val="2"/>
      </rPr>
      <t>by utility policy</t>
    </r>
    <r>
      <rPr>
        <sz val="10"/>
        <rFont val="Arial"/>
        <family val="2"/>
      </rPr>
      <t xml:space="preserve"> to be left unmetered.  This is typically a very small component in systems that maintain a policy to meter their customer population.  However, this quantity can be the key consumption component in utilities that have not adopted a universal metering policy.   </t>
    </r>
    <r>
      <rPr>
        <b/>
        <sz val="10"/>
        <rFont val="Arial"/>
        <family val="2"/>
      </rPr>
      <t xml:space="preserve">This component should NOT include any water that is supplied to neighboring utilities (water exported) which is unmetered but billed.  Water supplied as exports to neighboring water utilities should be included only in the Water Exported component. </t>
    </r>
  </si>
  <si>
    <t xml:space="preserve">Length of all pipelines (except service connections) in the system starting from the point of system input metering (for example at the outlet of the treatment plant).  It is also recommended to include in this measure the total length of fire hydrant lead pipe.  Hydrant lead pipe is the pipe branching from the water main to the fire hydrant.  Fire hydrant leads are typically of a sufficiently large size that is more representative of a pipeline than a service connection.  The average length of hydrant leads across the entire system can be assumed if not known, and multiplied by the number of fire hydrants in the system, which can also be assumed if not known.  This value can then be added to the total pipeline length.  Total length of mains can therefore be calculated as:
Length of Mains, miles = (total pipeline length, miles) + [ {(average fire hydrant lead length, ft) x (number of fire hydrants)} / 5,280 ft/mile ] 
                                                                                                              or
Length of Mains, kilometres = (total pipeline length, kilometres) + [ {(average fire hydrant lead length, metres) x (number of fire hydrants)} / 1,000 metres/kilometre ] </t>
  </si>
  <si>
    <t>= Apparent Losses + Real Losses + Unbilled Metered Consumption + Unbilled Unmetered Consumption.  This is water which does not provide revenue potential to the utility.</t>
  </si>
  <si>
    <t>Physical water losses from the pressurized system (water mains and customer service connections) and the utility’s storage tanks, up to the point of customer consumption. In metered systems this is the customer meter, in unmetered situations this is the first point of consumption (stop tap/tap) within the property.  The annual volume lost through all types of leaks, breaks and overflows depends on frequencies, flow rates, and average duration of individual leaks, breaks and overflows.</t>
  </si>
  <si>
    <t>Those components of System Input Volume that are billed and have the potential to produce revenue.</t>
  </si>
  <si>
    <t>=number of customer service connections / length of mains</t>
  </si>
  <si>
    <t>Service Connection Density</t>
  </si>
  <si>
    <t>These costs include those for operations, maintenance and any annually incurred costs for long-term upkeep of the drinking water supply and distribution system.  It should include the costs of day-to-day upkeep and long-term financing such as repayment of capital bonds for infrastructure expansion or improvement.  Typical costs include employee salaries and benefits, materials, equipment, insurance, fees, administrative costs and all other costs that exist to sustain the drinking water supply.  Depending upon water utility accounting procedures or regulatory agency requirements, it may be appropriate to include depreciation in the total of this cost.   This cost should not include any costs to operate wastewater, biosolids or other systems outside of drinking water.</t>
  </si>
  <si>
    <t>Includes water illegally withdrawn from fire hydrants, illegal connections, bypasses to customer consumption meters, or tampering with metering or meter reading equipment; as well as any other ways to receive water while thwarting the water utility's ability to collect revenue for the water.  Unauthorized consumption results in uncaptured revenue and creates an error that understates customer consumption.  In most water utilities this volume is low and, if the water auditor has not yet gathered detailed data for these loss occurrences, it is recommended that the auditor apply a default value of 0.25% of the volume of water supplied.  However, if the auditor has investigated unauthorized occurrences, and has well validated data that indicates the volume from unauthorized consumption is substantially higher or lower than that generated by the default value, then the auditor should enter a quantity that was derived from the utility investigations.  Note that a value of zero will not be accepted since all water utilities have some volume of unauthorized consumption occurring in their system.
Note: if the auditor selects the default value for unauthorized consumption, a data grading of 5 is automatically assigned, but not displayed on the Reporting Worksheet.</t>
  </si>
  <si>
    <r>
      <t xml:space="preserve">The Customer Retail Unit Cost represents the charge that customers pay for water service.  This unit cost is applied routinely to the components of Apparent Loss, since these losses represent water reaching customers but not (fully) paid for.  Since most water utilities have a rate structure that includes a variety of different costs based upon class of customer, a weighted average of individual costs and number of customer accounts in each class can be calculated to determine a single composite cost that should be entered into this cell. Finally, the weighted average cost should also include additional charges for sewer, storm water or biosolids processing, </t>
    </r>
    <r>
      <rPr>
        <u/>
        <sz val="10"/>
        <rFont val="Arial"/>
        <family val="2"/>
      </rPr>
      <t>but only if</t>
    </r>
    <r>
      <rPr>
        <sz val="10"/>
        <rFont val="Arial"/>
        <family val="2"/>
      </rPr>
      <t xml:space="preserve"> these charges are based upon the volume of potable water consumed.
For water utilities in regions with limited water resources and a questionable ability to meet the drinking water demands in the future, the Customer Retail Unit Cost might also be applied to value the Real Losses; instead of applying the Variable Production Cost to Real Losses.  In this way, it is assumed that every unit volume of leakage reduced by leakage management activities will be sold to a customer.
Note: the Free Water Audit Software allows the user to select the units that are charged to customers (either $/1,000 gallons, $/hundred cubic feet, or $/1,000 litres) and automatically converts these units to the units that appear in the "WATER SUPPLIED" box.  The monetary units are United States dollars, $. </t>
    </r>
  </si>
  <si>
    <t>All consumption that is unbilled, but still authorized by the utility.  This includes Unbilled Metered Consumption + Unbilled Unmetered Consumption.  See "Authorized Consumption" for more information.  For Unbilled Unmetered Consumption, the Free Water Audit Software provides the auditor the option to select a default value if they have not audited unmetered activities in detail.  The default calculates a volume that is 1.25% of the Water Supplied volume.  If the auditor has carefully audited the various unbilled, unmetered, authorized uses of water, and has established reliable estimates of this collective volume, then he or she may enter the volume directly for this component, and not use the default value.</t>
  </si>
  <si>
    <r>
      <t xml:space="preserve">Metered consumption which is authorized by the water utility, but, for any reason, is </t>
    </r>
    <r>
      <rPr>
        <u/>
        <sz val="10"/>
        <rFont val="Arial"/>
        <family val="2"/>
      </rPr>
      <t>deemed by utility policy</t>
    </r>
    <r>
      <rPr>
        <sz val="10"/>
        <rFont val="Arial"/>
        <family val="2"/>
      </rPr>
      <t xml:space="preserve"> to be unbilled.  This might for example include metered water consumed by the utility itself in treatment or distribution operations, or metered water provided to civic institutions free of charge.  </t>
    </r>
    <r>
      <rPr>
        <b/>
        <sz val="10"/>
        <rFont val="Arial"/>
        <family val="2"/>
      </rPr>
      <t xml:space="preserve">It does </t>
    </r>
    <r>
      <rPr>
        <b/>
        <u/>
        <sz val="10"/>
        <rFont val="Arial"/>
        <family val="2"/>
      </rPr>
      <t>not</t>
    </r>
    <r>
      <rPr>
        <b/>
        <sz val="10"/>
        <rFont val="Arial"/>
        <family val="2"/>
      </rPr>
      <t xml:space="preserve"> include water supplied to neighboring utilities (water exported) which may be metered but not billed.</t>
    </r>
  </si>
  <si>
    <r>
      <t xml:space="preserve">The volume of water withdrawn (abstracted) from water resources (rivers, lakes, streams, wells, etc) controlled by the water utility, and then treated for potable water distribution.  Most water audits are compiled for utility retail water distribution systems, so this volume should reflect the amount of </t>
    </r>
    <r>
      <rPr>
        <u/>
        <sz val="10"/>
        <rFont val="Arial"/>
        <family val="2"/>
      </rPr>
      <t>treated</t>
    </r>
    <r>
      <rPr>
        <sz val="10"/>
        <rFont val="Arial"/>
        <family val="2"/>
      </rPr>
      <t xml:space="preserve"> drinking water that entered the distribution system.  Often the volume of water measured at the effluent of the treatment works is slightly less than the volume measured at the raw water source, since some of the water is used in the treatment process.  Thus, it is useful if flows are metered at the effluent of the treatment works.  If metering exists only at the raw water source, an adjustment for water used in the treatment process should be included to account for water consumed in treatment operations such as filter backwashing, basin flushing and cleaning, etc.  If the audit is conducted for a wholesale water agency that sells untreated water, then this quantity reflects the measure of the raw water, typically metered at the source.</t>
    </r>
  </si>
  <si>
    <t>The Water Imported volume is the bulk water purchased to become part of the Water Supplied volume.  Typically this is water purchased from a neighboring water utility or regional water authority, and is metered at the custody transfer point of interconnection between the two water utilities.  Usually the meter(s) are owned by the water supplier selling the water to the utility conducting the water audit.  The water supplier selling the bulk water usually charges the receiving utility based upon a wholesale water rate.</t>
  </si>
  <si>
    <r>
      <t xml:space="preserve">An estimate or measure of the volume in which the Water Exported volume is incorrect.  This adjustment is a weighted average that represents the collective error for all of the metered and archived exported flow for all days of the audit year.  Meter error can occur in different ways.  A meter may be inaccurate by under-registering flow (did not capture all the flow), or by over-registering flow (overstated the actual flow).  Error in the metered, archived data can also occur due to data gaps caused by temporary outages of the meter or related instrumentation.  All water utilities encounter some degree of error in their metered data, particularly if meters are aged and infrequently tested.  Occasional errors also occur in the archived data.  Thus, a value of zero should </t>
    </r>
    <r>
      <rPr>
        <u/>
        <sz val="10"/>
        <rFont val="Arial"/>
        <family val="2"/>
      </rPr>
      <t>not</t>
    </r>
    <r>
      <rPr>
        <sz val="10"/>
        <rFont val="Arial"/>
        <family val="2"/>
      </rPr>
      <t xml:space="preserve"> be entered.  Enter a negative percentage or value for metered data under-registration; or enter a positive percentage or value for metered data over-registration.  If regular meter accuracy testing is conducted on the meter(s) - which is usually conducted by the water utility selling the water - then the results of this testing can be used to help quantify the meter error adjustment.  Corrections to data gaps or other errors found in the archived data should also be included as a portion of this meter error adjustment.   </t>
    </r>
  </si>
  <si>
    <r>
      <t xml:space="preserve">An estimate or measure of the degree of inaccuracy that exists in the master (production) meters measuring the annual Volume from own Sources, and any error in the data trail that exists to collect, store and report the summary production data.  This adjustment is a weighted average number that represents the collective error for all master meters for all days of the audit year and any errors identified in the data trail.  Meter error can occur in different ways.  A meter or meters may be inaccurate by under-registering flow (did not capture all the flow), or by over-registering flow (overstated the actual flow).  Data error can occur due to data gaps caused by temporary outages of the meter or related instrumentation.  All water utilities encounter some degree of inaccuracy in master meters and data errors in archival systems are common; thus a value of zero should </t>
    </r>
    <r>
      <rPr>
        <u/>
        <sz val="10"/>
        <rFont val="Arial"/>
        <family val="2"/>
      </rPr>
      <t>not</t>
    </r>
    <r>
      <rPr>
        <sz val="10"/>
        <rFont val="Arial"/>
        <family val="2"/>
      </rPr>
      <t xml:space="preserve"> be entered.  Enter a negative percentage or value for metered data under-registration; or, enter a positive percentage or value for metered data over-registration.</t>
    </r>
  </si>
  <si>
    <r>
      <t xml:space="preserve">Any kind of Authorized Consumption which is neither billed or metered.  This component typically includes water used in activities such as fire fighting, flushing of water mains and sewers, street cleaning, fire flow tests conducted by the water utility, etc.  In most water utilities it is a small component which is very often substantially overestimated. </t>
    </r>
    <r>
      <rPr>
        <b/>
        <sz val="10"/>
        <rFont val="Arial"/>
        <family val="2"/>
      </rPr>
      <t xml:space="preserve"> It does NOT include water supplied to neighboring utilities (water exported) which is unmetered and unbilled – an unlikely case.</t>
    </r>
    <r>
      <rPr>
        <sz val="10"/>
        <rFont val="Arial"/>
        <family val="2"/>
      </rPr>
      <t xml:space="preserve">  This component has many sub-components of water use which are often tedious to identify and quantify.  Because of this, and the fact that it is usually a small portion of the water supplied, it is recommended that the auditor apply the default value, which is 1.25% of the Water Supplied volume.  Select the default percentage to enter this value.
If the water utility </t>
    </r>
    <r>
      <rPr>
        <u/>
        <sz val="10"/>
        <rFont val="Arial"/>
        <family val="2"/>
      </rPr>
      <t>has</t>
    </r>
    <r>
      <rPr>
        <sz val="10"/>
        <rFont val="Arial"/>
        <family val="2"/>
      </rPr>
      <t xml:space="preserve"> carefully audited the unbilled, unmetered activities occurring in the system, and has well validated data that gives a value substantially higher or lower than the default volume, then the auditor should enter their own volume.  However the default approach is recommended for most water utilities.
Note that a value of zero is not permitted, since all water utilities have some volume of water in this component occurring in their system.</t>
    </r>
  </si>
  <si>
    <r>
      <t xml:space="preserve">Number of </t>
    </r>
    <r>
      <rPr>
        <b/>
        <u/>
        <sz val="10"/>
        <rFont val="Arial"/>
        <family val="2"/>
      </rPr>
      <t>active AND inactive</t>
    </r>
    <r>
      <rPr>
        <b/>
        <sz val="10"/>
        <rFont val="Arial"/>
        <family val="2"/>
      </rPr>
      <t xml:space="preserve"> service connections</t>
    </r>
  </si>
  <si>
    <t>&gt;0 if a grading has been missed</t>
  </si>
  <si>
    <t>=0 if no reporting units selected</t>
  </si>
  <si>
    <t xml:space="preserve"> AWWA Free Water Audit Software:
 Definitions</t>
  </si>
  <si>
    <t>Apparent 
Losses</t>
  </si>
  <si>
    <t xml:space="preserve">
Average operating pressure</t>
  </si>
  <si>
    <t xml:space="preserve">
Billed metered consumption</t>
  </si>
  <si>
    <t xml:space="preserve">
Billed unmetered consumption</t>
  </si>
  <si>
    <t>Service connection density:</t>
  </si>
  <si>
    <r>
      <t xml:space="preserve">Number of customer service connections, extending from the water main to supply water to a customer. Please note that this includes the actual number of distinct piping connections, including fire connections, whether active or inactive. This may differ substantially from the number of customers (or number of accounts).  </t>
    </r>
    <r>
      <rPr>
        <b/>
        <sz val="10"/>
        <rFont val="Arial"/>
        <family val="2"/>
      </rPr>
      <t>Note: this number does not include the pipeline leads to fire hydrants - the total length of piping supplying fire hyrants should be included in the "Length of mains" parameter.</t>
    </r>
  </si>
  <si>
    <r>
      <t xml:space="preserve">Apparent water losses caused by the collective under-registration of customer water meters. Many customer water meters gradually wear as large cumulative volumes of water are passed through them over time.  This causes the meters to under-register the flow of water.  This occurrence is common with smaller residential meters of sizes 5/8-inch and 3/4 inch after they have registered very large cumulative volumes of water, which generally occurs only after periods of years.  For meters sized 1-inch and larger - typical of multi-unit residential, commercial and industrial accounts - meter under-registration can occur from wear or from the improper application of the meter; i.e. installing the wrong type of meter or the wrong size of meter, for the flow pattern (profile) of the consumer.  For instance, many larger meters have reduced accuracy at low flows.  If an oversized meter is installed, most of the time the routine flow will occur in the low flow range of the meter, and a significant portion of it may not be registered.  It is important to properly select and install all meters, but particularly large customer meters, size 1-inch and larger.  
The auditor has two options for entering data for this component of the audit. The auditor can enter a percentage under-registration (typically an estimated value), this will apply the selected percentage to the two categories of metered consumption to determine the volume of water not recorded due to customer meter inaccuracy.  Note that this percentage is a composite average inaccuracy for </t>
    </r>
    <r>
      <rPr>
        <u/>
        <sz val="10"/>
        <rFont val="Arial"/>
        <family val="2"/>
      </rPr>
      <t>all</t>
    </r>
    <r>
      <rPr>
        <sz val="10"/>
        <rFont val="Arial"/>
        <family val="2"/>
      </rPr>
      <t xml:space="preserve"> customer meters in the entire meter population.  The percentage will be multiplied by the sum of the volumes in the Billed Metered and Unbilled Metered components.  Alternatively, if the auditor has substantial data from meter testing activities, he or she can calculate their own loss volumes, and this volume may be entered directly.
Note that a value of zero will be accepted but an alert will appear asking if the customer population is unmetered.  Since all metered systems have some degree of inaccuracy, a positive value should be entered.  A value of zero in this component is valid only if the water utility does not meter its customer population.    </t>
    </r>
  </si>
  <si>
    <t xml:space="preserve">
Water imported</t>
  </si>
  <si>
    <t xml:space="preserve">
WATER LOSSES</t>
  </si>
  <si>
    <t>Alaska (AK)</t>
  </si>
  <si>
    <t>Alabama (AL)</t>
  </si>
  <si>
    <t>Arkansas (AR)</t>
  </si>
  <si>
    <t>Arizona (AZ)</t>
  </si>
  <si>
    <t>California (CA)</t>
  </si>
  <si>
    <t>Colorado (CO)</t>
  </si>
  <si>
    <t>Connecticut (CT)</t>
  </si>
  <si>
    <t>Dist. Columbia (DC)</t>
  </si>
  <si>
    <t>Delaware (DE)</t>
  </si>
  <si>
    <t>Florida (FL)</t>
  </si>
  <si>
    <t>Georgia (GA)</t>
  </si>
  <si>
    <t>Hawaii (HI)</t>
  </si>
  <si>
    <t>Iowa (IA)</t>
  </si>
  <si>
    <t>Idaho (ID)</t>
  </si>
  <si>
    <t>Illinois (IL)</t>
  </si>
  <si>
    <t>Indiana (IN)</t>
  </si>
  <si>
    <t>Kansas (KS)</t>
  </si>
  <si>
    <t>Kentucky (KY)</t>
  </si>
  <si>
    <t>Louisiana (LA)</t>
  </si>
  <si>
    <t>Massachusetts (MA)</t>
  </si>
  <si>
    <t>Maryland (MD)</t>
  </si>
  <si>
    <t>Maine (ME)</t>
  </si>
  <si>
    <t>Michigan (MI)</t>
  </si>
  <si>
    <t>Minnesota (MN)</t>
  </si>
  <si>
    <t>Missouri (MO)</t>
  </si>
  <si>
    <t>Mississippi (MS)</t>
  </si>
  <si>
    <t>Montana (MT)</t>
  </si>
  <si>
    <t>North Carolina (NC)</t>
  </si>
  <si>
    <t>North Dakota (ND)</t>
  </si>
  <si>
    <t>Nebraska (NE)</t>
  </si>
  <si>
    <t>New Hampshire (NH)</t>
  </si>
  <si>
    <t>New Jersey (NJ)</t>
  </si>
  <si>
    <t>New Mexico (NM)</t>
  </si>
  <si>
    <t>Nevada (NV)</t>
  </si>
  <si>
    <t>New York (NY)</t>
  </si>
  <si>
    <t>Ohio (OH)</t>
  </si>
  <si>
    <t>Oklahoma (OK)</t>
  </si>
  <si>
    <t>Oregon (OR)</t>
  </si>
  <si>
    <t>Pennsylvania (PA)</t>
  </si>
  <si>
    <t>Rhode Island (RI)</t>
  </si>
  <si>
    <t>South Carolina (SC)</t>
  </si>
  <si>
    <t>South Dakota (SD)</t>
  </si>
  <si>
    <t>Tennessee (TN)</t>
  </si>
  <si>
    <t>Texas (TX)</t>
  </si>
  <si>
    <t>Utah (UT)</t>
  </si>
  <si>
    <t>Virginia (VA)</t>
  </si>
  <si>
    <t>Vermont (VT)</t>
  </si>
  <si>
    <t>Washington (WA)</t>
  </si>
  <si>
    <t>Wisconsin (WI)</t>
  </si>
  <si>
    <t>West Virginia (WV)</t>
  </si>
  <si>
    <t>Wyoming (WY)</t>
  </si>
  <si>
    <t>Alberta (AB)</t>
  </si>
  <si>
    <t>British Columbia (BC)</t>
  </si>
  <si>
    <t>Labrador (LB)</t>
  </si>
  <si>
    <t>Manitoba (MB)</t>
  </si>
  <si>
    <t>New Brunswick (NB)</t>
  </si>
  <si>
    <t>Newfoundland (NF)</t>
  </si>
  <si>
    <t>Nova Scotia (NS)</t>
  </si>
  <si>
    <t>Nunavut (NU)</t>
  </si>
  <si>
    <t>North West Terr. (NW)</t>
  </si>
  <si>
    <t>Ontario (ON)</t>
  </si>
  <si>
    <t>Prince Edward Is. (PE)</t>
  </si>
  <si>
    <t>Quebec (QC)</t>
  </si>
  <si>
    <t>Saskatchewen (SK)</t>
  </si>
  <si>
    <t>Yukon (YU)</t>
  </si>
  <si>
    <t>Select a state / province from the list</t>
  </si>
  <si>
    <r>
      <t xml:space="preserve">= billed water exported + billed metered + billed unmetered + unbilled metered + unbilled unmetered consumption
The volume of metered and/or unmetered water taken by registered customers, the water utility's own uses, and uses of others who are implicitly or explicitly authorized to do so by the water utility; for residential, commercial, industrial and public-minded purposes.
Typical retail customers' consumption is tabulated usually from established customer accounts as billed metered consumption, or - for unmetered customers - billed unmetered consumption.  These types of consumption, along with billed water exported, provide revenue potential for the water utility.  </t>
    </r>
    <r>
      <rPr>
        <b/>
        <sz val="10"/>
        <rFont val="Arial"/>
        <family val="2"/>
      </rPr>
      <t xml:space="preserve">Be certain to tabulate the water exported volume as a separate component and do not "double-count" it by including in the billed metered consumption component as well as the water exported component.  </t>
    </r>
    <r>
      <rPr>
        <sz val="10"/>
        <rFont val="Arial"/>
        <family val="2"/>
      </rPr>
      <t xml:space="preserve">
Unbilled authorized consumption occurs typically in non-account uses, including water for fire fighting and training, flushing of water mains and sewers, street cleaning, watering of municipal gardens, public fountains, or similar public-minded uses.  Occasionally these uses may be metered and billed (or charged a flat fee), but usually they are unmetered and unbilled.  In the latter case, the water auditor may use a default value to estimate this quantity, or implement procedures for the reliable quantification of these uses.  This starts with documenting usage events as they occur and estimating the amount of water used in each event.   (See Unbilled unmetered consumption)</t>
    </r>
  </si>
  <si>
    <r>
      <t xml:space="preserve">At least 75% of treated water production sources are metered, </t>
    </r>
    <r>
      <rPr>
        <u/>
        <sz val="8"/>
        <rFont val="Arial"/>
        <family val="2"/>
      </rPr>
      <t>or</t>
    </r>
    <r>
      <rPr>
        <sz val="8"/>
        <rFont val="Arial"/>
        <family val="2"/>
      </rPr>
      <t xml:space="preserve"> at least 90% of the source flow is derived from metered sources.  Meter accuracy testing and/or electronic calibration of related instrumentation is conducted annually.  Less than 25% of tested meters are found outside of +/- 6% accuracy.  </t>
    </r>
  </si>
  <si>
    <t>100% of treated water production sources are metered, meter accuracy testing and electronic calibration of related instrumentation is conducted annually, less than 10% of meters are found outside of +/- 6% accuracy</t>
  </si>
  <si>
    <r>
      <t xml:space="preserve">to qualify for 2:
</t>
    </r>
    <r>
      <rPr>
        <sz val="8"/>
        <rFont val="Arial"/>
        <family val="2"/>
      </rPr>
      <t>Organize and launch efforts to collect data for determining volume from own sources</t>
    </r>
  </si>
  <si>
    <r>
      <t xml:space="preserve">to qualify for 4:
</t>
    </r>
    <r>
      <rPr>
        <sz val="8"/>
        <rFont val="Arial"/>
        <family val="2"/>
      </rPr>
      <t>Locate all water production sources on maps and in the field, launch meter accuracy testing for existing meters, begin to install meters on unmetered water production sources and replace any obsolete/defective meters.</t>
    </r>
  </si>
  <si>
    <r>
      <t>to qualify for 6</t>
    </r>
    <r>
      <rPr>
        <sz val="8"/>
        <rFont val="Arial"/>
        <family val="2"/>
      </rPr>
      <t>:
Formalize annual meter accuracy testing for all source meters; specify the frequency of testing.  Complete installation of meters on unmetered water production sources and complete replacement of all obsolete/defective meters.</t>
    </r>
  </si>
  <si>
    <r>
      <t xml:space="preserve">to qualify for 8:
</t>
    </r>
    <r>
      <rPr>
        <sz val="8"/>
        <rFont val="Arial"/>
        <family val="2"/>
      </rPr>
      <t xml:space="preserve">Conduct annual meter accuracy testing and calibration of related instrumentation on all meter installations on a regular basis.  Complete project to install new, or replace defective existing, meters so that entire production meter population is metered.  Repair or replace meters outside of +/- 6% accuracy. </t>
    </r>
  </si>
  <si>
    <r>
      <t xml:space="preserve">to qualify for 10:
</t>
    </r>
    <r>
      <rPr>
        <sz val="8"/>
        <rFont val="Arial"/>
        <family val="2"/>
      </rPr>
      <t xml:space="preserve">Maintain annual meter accuracy testing and calibration of related instrumentation for all meter installations.  Repair or replace meters outside of +/- 3% accuracy.  Investigate new meter technology; pilot one or more replacements with innovative meters in attempt to further improve meter accuracy. </t>
    </r>
  </si>
  <si>
    <r>
      <t>to maintain 10</t>
    </r>
    <r>
      <rPr>
        <sz val="8"/>
        <rFont val="Arial"/>
        <family val="2"/>
      </rPr>
      <t>:
Standardize meter accuracy test frequency to semi-annual, or more frequent, for all meters.  Repair or replace meters outside of +/- 3% accuracy.  Continually investigate/pilot improving metering technology.</t>
    </r>
  </si>
  <si>
    <t xml:space="preserve">Select n/a only if the water utility fails to have meters on its sources of supply </t>
  </si>
  <si>
    <t xml:space="preserve">Inventory information on meters and paper records of measured volumes exist but are incomplete and/or in a very crude condition; data error cannot be determined </t>
  </si>
  <si>
    <t>No automatic datalogging of production volumes; daily readings are scribed on paper records without any accountability controls.  Flows are not balanced across the water distribution system: tank/storage elevation changes are not employed in calculating the "Volume from own sources" component and archived flow data is adjusted only when grossly evident data error occurs.</t>
  </si>
  <si>
    <t>Production meter data is logged automatically in electronic format and reviewed at least on a monthly basis with necessary corrections implemented.  "Volume from own sources" tabulations include estimate of daily changes in tanks/storage facilities.  Meter data is adjusted when gross data errors occur, or occasional meter testing deems this necessary.</t>
  </si>
  <si>
    <t>Continuous production meter data is logged automatically &amp; reviewed each business day.  Data is adjusted to correct gross error from detected meter/instrumentation equipment malfunction and/or results of meter accuracy testing.  Tank/storage facility elevation changes are automatically used in "Volume from own sources" tabulations and data gaps in the archived data are corrected on a daily basis.</t>
  </si>
  <si>
    <t xml:space="preserve">Computerized system (SCADA or similar) automatically balances flows from all sources and storages; results are reviewed each business day.  Tight accountability controls ensure that all data gaps that occur in the archived flow data are quickly detected and corrected. Regular calibrations between SCADA and sources meters ensures minimal data transfer error.  </t>
  </si>
  <si>
    <r>
      <t xml:space="preserve">to qualify for 2:
</t>
    </r>
    <r>
      <rPr>
        <sz val="8"/>
        <rFont val="Arial"/>
        <family val="2"/>
      </rPr>
      <t xml:space="preserve">Develop a plan to restructure recordkeeping system to capture all flow data; set a procedure to review flow data on a daily  basis to detect input errors.  Obtain more reliable information about existing meters by conducting field inspections of meters and related instrumentation, and obtaining manufacturer literature. </t>
    </r>
  </si>
  <si>
    <r>
      <t>to qualify for 4</t>
    </r>
    <r>
      <rPr>
        <sz val="8"/>
        <rFont val="Arial"/>
        <family val="2"/>
      </rPr>
      <t xml:space="preserve">:
Install automatic datalogging equipment on production meters.  Complete installation of level instrumentation at all tanks/storage facilities and include tank level data in automatic calculation routine in a computerized system.  Construct a computerized listing or spreadsheet to archive input volumes, tank/storage volume changes and import/export flows in order to determine the composite "Water Supplied" volume for the distribution system.  Set a procedure to review this data on a monthly basis to detect gross anomalies and data gaps.     </t>
    </r>
  </si>
  <si>
    <r>
      <t>to qualify for 6</t>
    </r>
    <r>
      <rPr>
        <sz val="8"/>
        <rFont val="Arial"/>
        <family val="2"/>
      </rPr>
      <t xml:space="preserve">:
Refine computerized data collection and archive to include hourly production meter data that is reviewed at least on a weekly basis to detect specific data anomalies and gaps.  Use daily net storage change to balance flows in calculating "Water Supplied" volume.   Necessary corrections to data errors are implemented on a weekly basis. </t>
    </r>
  </si>
  <si>
    <r>
      <t>to qualify for 8</t>
    </r>
    <r>
      <rPr>
        <sz val="8"/>
        <rFont val="Arial"/>
        <family val="2"/>
      </rPr>
      <t xml:space="preserve">:
Ensure that all flow data is collected and archived on at least an hourly basis.  All data is reviewed and detected errors corrected each business day.  Tank/storage levels variations are employed in calculating balanced "Water Supplied" component.  Adjust production meter data for gross error and inaccuracy confirmed by testing. </t>
    </r>
  </si>
  <si>
    <r>
      <t>to qualify for 10</t>
    </r>
    <r>
      <rPr>
        <sz val="8"/>
        <rFont val="Arial"/>
        <family val="2"/>
      </rPr>
      <t>:
Link all production and tank/storage facility elevation change data to a Supervisory Control &amp; Data Acquisition (SCADA) System, or similar computerized monitoring/control system, and establish automatic flow balancing algorithm and regularly calibrate between SCADA and source meters.  Data is reviewed and corrected each business day.</t>
    </r>
  </si>
  <si>
    <t>50% - 75% of imported water sources are metered, other sources estimated.  Occasional meter accuracy testing conducted.</t>
  </si>
  <si>
    <t xml:space="preserve">At least 75% of imported water sources are metered, meter accuracy testing and/or electronic calibration of related instrumentation is conducted annually for all meter installations.  Less than 25% of tested meters are found outside of +/- 6% accuracy.  </t>
  </si>
  <si>
    <t>100% of imported water sources are metered, meter accuracy testing and electronic calibration of related instrumentation is conducted annually, less than 10% of meters are found outside of +/- 6% accuracy</t>
  </si>
  <si>
    <t xml:space="preserve">100% of imported water sources are metered, meter accuracy testing and electronic calibration of related instrumentation is conducted semi-annually for all meter installations, with less than 10% of accuracy tests found outside of +/- 3% accuracy.     </t>
  </si>
  <si>
    <r>
      <t xml:space="preserve">to qualify for 2:
</t>
    </r>
    <r>
      <rPr>
        <sz val="8"/>
        <rFont val="Arial"/>
        <family val="2"/>
      </rPr>
      <t xml:space="preserve">Review bulk water purchase agreements with partner suppliers; confirm requirements for use and maintenance of accurate metering.  Identify needs for new or replacement meters with goal to meter all imported water sources. </t>
    </r>
  </si>
  <si>
    <r>
      <t>To qualify for 4</t>
    </r>
    <r>
      <rPr>
        <sz val="8"/>
        <rFont val="Arial"/>
        <family val="2"/>
      </rPr>
      <t xml:space="preserve">:
Locate all imported water sources on maps and in the field, launch meter accuracy testing for existing meters, begin to install meters on unmetered imported water interconnections and replace obsolete/defective meters. </t>
    </r>
  </si>
  <si>
    <r>
      <t>to qualify for 6</t>
    </r>
    <r>
      <rPr>
        <sz val="8"/>
        <rFont val="Arial"/>
        <family val="2"/>
      </rPr>
      <t>:
Formalize annual meter accuracy testing for all imported water meters, planning for both regular meter accuracy testing and calibration of the related instrumentation.  Continue installation of meters on unmetered imported water interconnections and replacement of obsolete/defective meters.</t>
    </r>
  </si>
  <si>
    <r>
      <t>to qualify for 8</t>
    </r>
    <r>
      <rPr>
        <sz val="8"/>
        <rFont val="Arial"/>
        <family val="2"/>
      </rPr>
      <t>:
Complete project to install new, or replace defective, meters on all imported water interconnections.  Maintain annual meter accuracy testing for all imported water meters and conduct calibration of related instrumentation at least annually.  Repair or replace meters outside of +/- 6% accuracy.</t>
    </r>
  </si>
  <si>
    <r>
      <t xml:space="preserve">to qualify for 10:
</t>
    </r>
    <r>
      <rPr>
        <sz val="8"/>
        <rFont val="Arial"/>
        <family val="2"/>
      </rPr>
      <t xml:space="preserve">Conduct meter accuracy testing for all meters on a semi-annual basis, along with calibration of all related instrumentation.  Repair or replace meters outside of +/- 3% accuracy.  Investigate new meter technology; pilot one or more replacements with innovative meters in attempt to improve meter accuracy. </t>
    </r>
  </si>
  <si>
    <r>
      <t>to maintain 10</t>
    </r>
    <r>
      <rPr>
        <sz val="8"/>
        <rFont val="Arial"/>
        <family val="2"/>
      </rPr>
      <t>:
Standardize meter accuracy test frequency to semi-annual, or more frequent, for all meters.  Continue to conduct calibration of related instrumentation on a semi-annual basis.  Repair or replace meters outside of +/- 3% accuracy.  Continually investigate/pilot improving metering technology.</t>
    </r>
  </si>
  <si>
    <t>Water imported meter error adjustment:</t>
  </si>
  <si>
    <t>No automatic datalogging of imported supply volumes; daily readings are scribed on paper records without any accountability controls to confirm data accuracy and the absence of errors and data gaps in recorded volumes.  Written agreement requires meter accuracy testing but is vague on the details of how and who conducts the testing.</t>
  </si>
  <si>
    <r>
      <t>to qualify for 6</t>
    </r>
    <r>
      <rPr>
        <sz val="8"/>
        <rFont val="Arial"/>
        <family val="2"/>
      </rPr>
      <t xml:space="preserve">:
Refine computerized data collection and archive to include hourly Imported supply metered flow data that is reviewed at least on a weekly basis to detect specific data anomalies and gaps.  Make necessary corrections to errors/data errors on a weekly basis. </t>
    </r>
  </si>
  <si>
    <r>
      <t>to qualify for 8</t>
    </r>
    <r>
      <rPr>
        <sz val="8"/>
        <rFont val="Arial"/>
        <family val="2"/>
      </rPr>
      <t xml:space="preserve">:
Ensure that all Imported supply metered flow data is collected and archived on at least an hourly basis.  All data is reviewed and errors/data gaps are corrected each business day.   </t>
    </r>
  </si>
  <si>
    <t>50% - 75% of exported water sources are metered, other sources estimated.  Occasional meter accuracy testing conducted.</t>
  </si>
  <si>
    <t>100% of exported water sources are metered, meter accuracy testing and electronic calibration of related instrumentation is conducted annually, less than 10% of meters are found outside of +/- 6% accuracy</t>
  </si>
  <si>
    <t xml:space="preserve">100% of exported water sources are metered, meter accuracy testing and electronic calibration of related instrumentation is conducted semi-annually for all meter installations, with less than 10% of accuracy tests found outside of +/- 3% accuracy.     </t>
  </si>
  <si>
    <r>
      <t xml:space="preserve">to qualify for 2:
</t>
    </r>
    <r>
      <rPr>
        <sz val="8"/>
        <rFont val="Arial"/>
        <family val="2"/>
      </rPr>
      <t xml:space="preserve">Review bulk water sales agreements with purchasing utilities; confirm requirements for use &amp; upkeep of accurate metering.  Identify needs to install new, or replace defective meters as needed. </t>
    </r>
  </si>
  <si>
    <r>
      <t>To qualify for 4</t>
    </r>
    <r>
      <rPr>
        <sz val="8"/>
        <rFont val="Arial"/>
        <family val="2"/>
      </rPr>
      <t xml:space="preserve">:
Locate all exported water sources on maps and in field, launch meter accuracy testing for existing meters, begin to install meters on unmetered exported water interconnections and replace obsolete/defective meters </t>
    </r>
  </si>
  <si>
    <r>
      <t>to qualify for 6</t>
    </r>
    <r>
      <rPr>
        <sz val="8"/>
        <rFont val="Arial"/>
        <family val="2"/>
      </rPr>
      <t>:
Formalize annual meter accuracy testing for all exported water meters.  Continue installation of meters on unmetered exported water interconnections and replacement of obsolete/defective meters.</t>
    </r>
  </si>
  <si>
    <r>
      <t>to qualify for 8</t>
    </r>
    <r>
      <rPr>
        <sz val="8"/>
        <rFont val="Arial"/>
        <family val="2"/>
      </rPr>
      <t>:
Complete project to install new, or replace defective, meters on all exported water interconnections.  Maintain annual meter accuracy testing for all exported water meters.  Repair or replace meters outside of +/- 6% accuracy.</t>
    </r>
  </si>
  <si>
    <t>Water exported meter error adjustment:</t>
  </si>
  <si>
    <t xml:space="preserve">Select n/a only if the water utility fails to have meters on its exported supply interconnections. </t>
  </si>
  <si>
    <t xml:space="preserve">Inventory information on exported meters and paper records of measured volumes exist but are incomplete and/or in a very crude condition; data error cannot be determined   Written agreement(s) with the utility purchasing the water are missing or written in vague language concerning meter management and testing. </t>
  </si>
  <si>
    <t>No automatic datalogging of exported supply volumes; daily readings are scribed on paper records without any accountability controls to confirm data accuracy and the absence of errors and data gaps in recorded volumes.  Written agreement requires meter accuracy testing but is vague on the details of how and who conducts the testing.</t>
  </si>
  <si>
    <t xml:space="preserve">Exported metered flow data is logged automatically in electronic format and reviewed at least on a monthly basis, with necessary corrections implemented.  Meter data is adjusted by the utility selling (exporting) the water when gross data errors are detected.  A coherent data trail exists for this process to protect both the utility exporting the water and the purchasing Utility.  Written agreement exists and clearly states requirements and roles for meter accuracy testing and data management. </t>
  </si>
  <si>
    <t xml:space="preserve">Hourly exported supply metered data is logged automatically &amp; reviewed on at least a weekly basis by the utility selling the water.  Data is adjusted to correct gross error when meter/instrumentation equipment malfunction is detected; and to correct for error found by meter accuracy testing.  Any data gaps in the archived data are detected and corrected during the weekly review.  A coherent data trail exists for this process to protect both the selling (exporting) utility and the purchasing Utility.    </t>
  </si>
  <si>
    <r>
      <t xml:space="preserve">to qualify for 2:
</t>
    </r>
    <r>
      <rPr>
        <sz val="8"/>
        <rFont val="Arial"/>
        <family val="2"/>
      </rPr>
      <t>Develop a plan to restructure recordkeeping system to capture all flow data; set a procedure to review flow data on a daily  basis to detect input errors.  Obtain more reliable information about existing meters by conducting field inspections of meters and related instrumentation, and obtaining manufacturer literature.  Review the written agreement between the utility selling (exporting) the water and the purchasing Utility.</t>
    </r>
  </si>
  <si>
    <r>
      <t>to qualify for 4</t>
    </r>
    <r>
      <rPr>
        <sz val="8"/>
        <rFont val="Arial"/>
        <family val="2"/>
      </rPr>
      <t xml:space="preserve">:
Install automatic datalogging equipment on exported supply meters.  Set a procedure to review this data on a monthly basis to detect gross anomalies and data gaps.  Launch discussions with the purchasing utilities to jointly review terms of the written agreements regarding meter accuracy testing and data management; revise the terms as necessary.      </t>
    </r>
  </si>
  <si>
    <r>
      <t>to qualify for 6</t>
    </r>
    <r>
      <rPr>
        <sz val="8"/>
        <rFont val="Arial"/>
        <family val="2"/>
      </rPr>
      <t xml:space="preserve">:
Refine computerized data collection and archive to include hourly exported supply metered flow data that is reviewed at least on a weekly basis to detect specific data anomalies and gaps.  Make necessary corrections to errors/data errors on a weekly basis. </t>
    </r>
  </si>
  <si>
    <r>
      <t>to qualify for 8</t>
    </r>
    <r>
      <rPr>
        <sz val="8"/>
        <rFont val="Arial"/>
        <family val="2"/>
      </rPr>
      <t xml:space="preserve">:
Ensure that all exported metered flow data is collected and archived on at least an hourly basis.  All data is reviewed and errors/data gaps are corrected each business day.   </t>
    </r>
  </si>
  <si>
    <r>
      <t>to qualify for 10</t>
    </r>
    <r>
      <rPr>
        <sz val="8"/>
        <rFont val="Arial"/>
        <family val="2"/>
      </rPr>
      <t xml:space="preserve">:
Conduct accountability checks to confirm that all exported metered flow data is reviewed and corrected each business day by the utility selling the water.  Results of all meter accuracy tests and data corrections should be available for sharing between the utility and the purchasing Utility.  Establish a schedule for a regular review and updating of the contractual language in the written agreements with the purchasing utilities; at least every five years. </t>
    </r>
  </si>
  <si>
    <r>
      <t>to maintain 10</t>
    </r>
    <r>
      <rPr>
        <sz val="8"/>
        <rFont val="Arial"/>
        <family val="2"/>
      </rPr>
      <t xml:space="preserve">:
Monitor meter innovations for development of more accurate and less expensive flowmeters; work with the purchasing utilities to help identify meter replacement needs.  Keep communication lines with the purchasing utilities open and maintain productive relations.  Keep the written agreement current with clear and explicit language that meets the ongoing needs of all parties. </t>
    </r>
  </si>
  <si>
    <t>Less than 50% of customers with volume-based billings from meter readings; flat or fixed rate billing exists for the majority of the customer population</t>
  </si>
  <si>
    <t>At least 50% of customers with volume-based billing from meter reads; flat rate billing for others.  Manual meter reading is conducted, with less than 50% meter read success rate, remainding accounts' consumption is estimated.  Limited meter records, no regular meter testing or replacement.  Billing data maintained on paper records, with no auditing.</t>
  </si>
  <si>
    <t>At least 75% of customers with volume-based, billing from meter reads; flat or fixed rate billing for remaining accounts.  Manual meter reading is conducted with at least 50% meter read success rate; consumption for accounts with failed reads is estimated.  Purchase records verify age of customer meters; only very limited meter accuracy testing is conducted.  Customer meters are replaced only upon complete failure.  Computerized billing records exist, but only sporadic internal auditing conducted.</t>
  </si>
  <si>
    <t>At least 90% of customers with volume-based billing from meter reads; consumption for remaining accounts is estimated.  Manual customer meter reading gives at least 80% customer meter reading success rate; consumption for accounts with failed reads is estimated.  Good customer meter records eixst, but only limited meter accuracy testing is conducted.  Regular replacement is conducted for the oldest meters.  Computerized billing records exist with annual auditing of summary statistics conducting by utility personnel.</t>
  </si>
  <si>
    <r>
      <t>to qualify for 2</t>
    </r>
    <r>
      <rPr>
        <sz val="8"/>
        <rFont val="Arial"/>
        <family val="2"/>
      </rPr>
      <t>:
Conduct investigations or trials of customer meters to select appropriate meter models.  Budget funding for meter installations.  Investigate volume based water rate structures.</t>
    </r>
  </si>
  <si>
    <r>
      <t>to qualify for 4</t>
    </r>
    <r>
      <rPr>
        <sz val="8"/>
        <rFont val="Arial"/>
        <family val="2"/>
      </rPr>
      <t xml:space="preserve">:
Purchase and install meters on unmetered accounts.  Implement policies to improve meter reading success.  Catalog meter information during meter read visits to identify age/model of existing meters.  Test a minimal number of meters for accuracy.  Install computerized billing system. </t>
    </r>
  </si>
  <si>
    <r>
      <t>to qualify for 6</t>
    </r>
    <r>
      <rPr>
        <sz val="8"/>
        <rFont val="Arial"/>
        <family val="2"/>
      </rPr>
      <t xml:space="preserve">:
Purchase and install meters on unmetered accounts.  Eliminate flat fee billing and establish appropriate water rate structure based upon measured consumption.  Continue to achieve verifiable success in removing manual meter reading barriers. Expand meter accuracy testing.  Launch regular meter replacement program.  Launch a program of annual auditing of global billing statistics by utility personnel. </t>
    </r>
  </si>
  <si>
    <r>
      <t>to qualify for 8</t>
    </r>
    <r>
      <rPr>
        <sz val="8"/>
        <rFont val="Arial"/>
        <family val="2"/>
      </rPr>
      <t xml:space="preserve">:
Purchase and install meters on unmetered accounts.  If customer meter reading success rate is less than 97%, assess cost-effectiveness of Automatic Meter Reading (AMR) or Advanced Metering Infrastructure (AMI) system for portion or entire system; </t>
    </r>
    <r>
      <rPr>
        <u/>
        <sz val="8"/>
        <rFont val="Arial"/>
        <family val="2"/>
      </rPr>
      <t>or</t>
    </r>
    <r>
      <rPr>
        <sz val="8"/>
        <rFont val="Arial"/>
        <family val="2"/>
      </rPr>
      <t xml:space="preserve"> otherwise achieve ongoing improvements in manual meter reading success rate to 97% or higher.  Refine meter accuracy testing program.  Set meter replacement goals based upon accuracy test results.  Implement annual auditing of detailed billing records by utility personnel and implement third party auditing at least once every five years. </t>
    </r>
  </si>
  <si>
    <r>
      <t>to qualify for 10</t>
    </r>
    <r>
      <rPr>
        <sz val="8"/>
        <rFont val="Arial"/>
        <family val="2"/>
      </rPr>
      <t xml:space="preserve">:
Purchase and install meters on unmetered accounts.  Launch Automatic Meter Reading (AMR) or Advanced Metering Infrastructure (AMI) system trials if manual meter reading success rate of at least 99% is not achieved within a five-year program.  Continue meter accuracy testing program.  Conduct planning and budgeting for large scale meter replacement based upon meter life cycle analysis using cumulative flow target.  Continue annual detailed billing data auditing by utility personnel and conduct third party auditing at least once every three years.   </t>
    </r>
  </si>
  <si>
    <r>
      <t>to maintain 10</t>
    </r>
    <r>
      <rPr>
        <sz val="8"/>
        <rFont val="Arial"/>
        <family val="2"/>
      </rPr>
      <t>:
Continue annual internal billing data auditing, and third party auditing at least every three years.  Continue customer meter accuracy testing to ensure that accurate customer meter readings are obtained and entered as the basis for volume based billing.  Stay abreast of improvements in Automatic Meter Reading (AMR) and Advanced Metering Infrastructure (AMI) and information management.  Plan and budget for justified upgrades in metering, meter reading and billing data management to maintain very high accuracy in customer metering and billing.</t>
    </r>
  </si>
  <si>
    <t>Select n/a if it is the policy of the water utility to meter all customer connections and it has been confirmed by detailed auditing that all customers do indeed have a water meter; i.e. no intentionally unmetered accounts exist</t>
  </si>
  <si>
    <r>
      <t xml:space="preserve">Water utility policy does </t>
    </r>
    <r>
      <rPr>
        <u/>
        <sz val="8"/>
        <rFont val="Arial"/>
        <family val="2"/>
      </rPr>
      <t>not</t>
    </r>
    <r>
      <rPr>
        <sz val="8"/>
        <rFont val="Arial"/>
        <family val="2"/>
      </rPr>
      <t xml:space="preserve"> require customer metering; flat or fixed fee billing is employed.  No data is collected on customer consumption.  The only estimates of customer population consumption available are derived from data estimation methods using average fixture count multiplied by number of connections, or similar approach.</t>
    </r>
  </si>
  <si>
    <r>
      <t xml:space="preserve">Water utility policy does </t>
    </r>
    <r>
      <rPr>
        <u/>
        <sz val="8"/>
        <rFont val="Arial"/>
        <family val="2"/>
      </rPr>
      <t>not</t>
    </r>
    <r>
      <rPr>
        <sz val="8"/>
        <rFont val="Arial"/>
        <family val="2"/>
      </rPr>
      <t xml:space="preserve"> require customer metering; flat or fixed fee billing is employed.  Some metered accounts exist in parts of the system (pilot areas or District Metered Areas) with consumption read periodically or recorded on portable dataloggers over one, three, or seven day periods.  Data from these sample meters are used to infer consumption for the total customer population.  Site specific estimation methods are used for unusual buildings/water uses.  </t>
    </r>
  </si>
  <si>
    <r>
      <t xml:space="preserve">Water utility policy </t>
    </r>
    <r>
      <rPr>
        <u/>
        <sz val="8"/>
        <rFont val="Arial"/>
        <family val="2"/>
      </rPr>
      <t>does</t>
    </r>
    <r>
      <rPr>
        <sz val="8"/>
        <rFont val="Arial"/>
        <family val="2"/>
      </rPr>
      <t xml:space="preserve"> require metering and volume based billing but established exemptions exist for a portion of accounts such as municipal buildings.  As many as 15% of billed accounts are unmetered due to this exemption or meter installation difficulties.  Only a group estimate of annual consumption for all unmetered accounts is included in the annual water audit, with no inspection of individual unmetered accounts.</t>
    </r>
  </si>
  <si>
    <r>
      <t xml:space="preserve">Water utility policy </t>
    </r>
    <r>
      <rPr>
        <u/>
        <sz val="8"/>
        <rFont val="Arial"/>
        <family val="2"/>
      </rPr>
      <t>does</t>
    </r>
    <r>
      <rPr>
        <sz val="8"/>
        <rFont val="Arial"/>
        <family val="2"/>
      </rPr>
      <t xml:space="preserve"> require metering and volume based billing for all customer accounts.  However, less than 5% of billed accounts remain unmetered because meter  installation is hindered by unusual circumstances.  The goal is to minimize the number of unmetered accounts.  Reliable estimates of consumption are obtained for these unmetered accounts via site specific estimation methods.</t>
    </r>
  </si>
  <si>
    <r>
      <t xml:space="preserve">Water utility policy </t>
    </r>
    <r>
      <rPr>
        <u/>
        <sz val="8"/>
        <rFont val="Arial"/>
        <family val="2"/>
      </rPr>
      <t>does</t>
    </r>
    <r>
      <rPr>
        <sz val="8"/>
        <rFont val="Arial"/>
        <family val="2"/>
      </rPr>
      <t xml:space="preserve"> require metering and volume based billing for all customer accounts.  Less than 2% of billed accounts are unmetered and exist because meter installation is hindered by unusual circumstances.  The goal exists to minimize the number of unmetered accounts to the extent that is economical.  Reliable estimates of consumption are obtained at these accounts via site specific estimation methods.</t>
    </r>
  </si>
  <si>
    <r>
      <t>to qualify for 2</t>
    </r>
    <r>
      <rPr>
        <sz val="8"/>
        <rFont val="Arial"/>
        <family val="2"/>
      </rPr>
      <t>: 
Conduct research and evaluate cost/benefit of a new water utility policy to require metering of the customer population; thereby greatly reducing or eliminating unmetered accounts.  Conduct pilot metering project by installing water meters in small sample of customer accounts and periodically reading the meters or datalogging the water consumption over one, three, or seven day periods.</t>
    </r>
  </si>
  <si>
    <r>
      <t>to qualify for 4</t>
    </r>
    <r>
      <rPr>
        <sz val="8"/>
        <rFont val="Arial"/>
        <family val="2"/>
      </rPr>
      <t xml:space="preserve">: 
Implement a new water utility policy requiring customer metering.  Launch or expand pilot metering study to include several different meter types, which will provide data for economic assessment of full scale metering options.  Assess sites with access difficulties to devise means to obtain water consumption volumes.  Begin customer meter installation. </t>
    </r>
  </si>
  <si>
    <r>
      <t>to qualify for 6</t>
    </r>
    <r>
      <rPr>
        <sz val="8"/>
        <rFont val="Arial"/>
        <family val="2"/>
      </rPr>
      <t>:
Refine policy and procedures to improve customer metering participation for all but solidly exempt accounts.  Assign staff resources to review billing records to identify errant unmetered properties.  Specify metering needs and funding requirements to install sufficient meters to significant reduce the number of unmetered accounts</t>
    </r>
  </si>
  <si>
    <r>
      <t>to qualify for 8</t>
    </r>
    <r>
      <rPr>
        <sz val="8"/>
        <rFont val="Arial"/>
        <family val="2"/>
      </rPr>
      <t>:
Push to install customer meters on a full scale basis.  Refine metering policy and procedures to ensure that all accounts, including municipal properties, are designated for meters.  Plan special efforts to address "hard-to-access" accounts.  Implement procedures to obtain a reliable consumption estimate for the remaining few unmetered accounts awaiting meter installation.</t>
    </r>
  </si>
  <si>
    <r>
      <t>to qualify for 10</t>
    </r>
    <r>
      <rPr>
        <sz val="8"/>
        <rFont val="Arial"/>
        <family val="2"/>
      </rPr>
      <t>:
Continue customer meter installation throughout the service area, with a goal to minimize unmetered accounts.  Sustain the effort to investigate accounts with access difficulties, and devise means to install water meters or otherwise measure water consumption.</t>
    </r>
  </si>
  <si>
    <r>
      <t>to maintain 10</t>
    </r>
    <r>
      <rPr>
        <sz val="8"/>
        <rFont val="Arial"/>
        <family val="2"/>
      </rPr>
      <t>: 
Continue to refine estimation methods for unmetered consumption and explore means to establish metering, for as many billed remaining unmetered accounts as is economically feasible.</t>
    </r>
  </si>
  <si>
    <r>
      <t>to qualify for 2</t>
    </r>
    <r>
      <rPr>
        <sz val="8"/>
        <rFont val="Arial"/>
        <family val="2"/>
      </rPr>
      <t xml:space="preserve">:
Reassess the water utility's policy allowing certain accounts to be granted a billing exemption.  Draft an outline of a new written policy for billing exemptions, with clear justification as to why any accounts should be exempt from billing, and with the intention to keep the number of such accounts to a minimum.   </t>
    </r>
  </si>
  <si>
    <r>
      <t>to qualify for 4</t>
    </r>
    <r>
      <rPr>
        <sz val="8"/>
        <rFont val="Arial"/>
        <family val="2"/>
      </rPr>
      <t xml:space="preserve">:
Review historic written directives and policy documents allowing certain accounts to be billing-exempt.  Draft an outline of a written policy for billing exemptions, identify criteria that grants an exemption, with a goal of keeping this number of accounts to a minimum.  Consider increasing the priority of reading meters on unbilled accounts at least annually.  </t>
    </r>
  </si>
  <si>
    <r>
      <t>to qualify for 6</t>
    </r>
    <r>
      <rPr>
        <sz val="8"/>
        <rFont val="Arial"/>
        <family val="2"/>
      </rPr>
      <t xml:space="preserve">:
Draft a new written policy regarding billing exemptions based upon consensus criteria allowing this occurrence.  Assign resources to audit meter records and billing records to obtain census of unbilled metered accounts.  Gradually include a greater number of these metered accounts to the routes for regular meter reading.    </t>
    </r>
  </si>
  <si>
    <r>
      <t>to qualify for 8</t>
    </r>
    <r>
      <rPr>
        <sz val="8"/>
        <rFont val="Arial"/>
        <family val="2"/>
      </rPr>
      <t xml:space="preserve">:
Communicate billing exemption policy throughout the organization and implement procedures that ensure proper account management.  Conduct inspections of accounts confirmed in unbilled metered status and verify that accurate meters exist and are scheduled for routine meter readings.  Gradually increase the number of unbilled metered accounts that are included in regular meter reading routes. </t>
    </r>
  </si>
  <si>
    <r>
      <t>to qualify for 10</t>
    </r>
    <r>
      <rPr>
        <sz val="8"/>
        <rFont val="Arial"/>
        <family val="2"/>
      </rPr>
      <t>:
Ensure that meter management (meter accuracy testing, meter replacement) and meter reading activities for unbilled accounts are accorded the same priority as billed accounts.  Establish ongoing annual auditing process to ensure that water consumption is reliably collected and provided to the annual water audit process.</t>
    </r>
  </si>
  <si>
    <r>
      <t>to maintain 10</t>
    </r>
    <r>
      <rPr>
        <sz val="8"/>
        <rFont val="Arial"/>
        <family val="2"/>
      </rPr>
      <t>:
Reassess the utility's philosophy in allowing any water uses to go "unbilled".  It is possible to meter and bill all accounts, even if the fee charged for water consumption is discounted or waived.  Metering and billing all accounts ensures that water consumption is tracked and water waste from plumbing leaks is detected and minimized.</t>
    </r>
  </si>
  <si>
    <t xml:space="preserve">Extent of unbilled, unmetered consumption is partially known, and procedures exist to document certain events such as miscellaneous fire hydrant uses.  Formulae is used to quantify the consumption from such events (time running multiplied by typical flowrate, multiplied by number of  events).  </t>
  </si>
  <si>
    <t>Clear policies and good recordkeeping exist for some uses (ex: water used in periodic testing of unmetered fire connections), but other uses (ex: miscellaneous uses of fire hydrants) have limited oversight.  Total consumption is a mix of well quantified use such as from formulae (time running multiplied by typical flow, multiplied by number of events) or temporary meters, and relatively subjective estimates of less regulated use.</t>
  </si>
  <si>
    <t>Clear policies exist to identify permitted use of water in unbilled, unmetered fashion, with the intention of minimizing this type of consumption.  Good records document each occurrence and consumption is quantified via formulae (time running multiplied by typical flow, multiplied by number of events) or use of temporary meters.</t>
  </si>
  <si>
    <r>
      <t>to qualify for 5</t>
    </r>
    <r>
      <rPr>
        <sz val="8"/>
        <rFont val="Arial"/>
        <family val="2"/>
      </rPr>
      <t xml:space="preserve">:
Utilize the accepted default value of 1.25% of the volume of water supplied as an expedient means to gain a reasonable quantification of this use.
</t>
    </r>
    <r>
      <rPr>
        <u/>
        <sz val="8"/>
        <rFont val="Arial"/>
        <family val="2"/>
      </rPr>
      <t>to qualify for 2</t>
    </r>
    <r>
      <rPr>
        <sz val="8"/>
        <rFont val="Arial"/>
        <family val="2"/>
      </rPr>
      <t xml:space="preserve">:
Establish a policy regarding what water uses should be allowed to remain as unbilled and unmetered.  Consider tracking a small sample of one such use (ex: fire hydrant flushings).   </t>
    </r>
  </si>
  <si>
    <r>
      <t>to qualify for 5</t>
    </r>
    <r>
      <rPr>
        <sz val="8"/>
        <rFont val="Arial"/>
        <family val="2"/>
      </rPr>
      <t xml:space="preserve">:
Utilize accepted default value of 1.25% of the volume of water supplied as an expedient means to gain a reasonable quantification of this use.    
</t>
    </r>
    <r>
      <rPr>
        <u/>
        <sz val="8"/>
        <rFont val="Arial"/>
        <family val="2"/>
      </rPr>
      <t>to qualify for 4</t>
    </r>
    <r>
      <rPr>
        <sz val="8"/>
        <rFont val="Arial"/>
        <family val="2"/>
      </rPr>
      <t xml:space="preserve">:
Evaluate the documentation of events that have been observed.  Meet with user groups (ex: for fire hydrants - fire departments, contractors to ascertain their need and/or volume requirements for water from fire hydrants).  </t>
    </r>
  </si>
  <si>
    <r>
      <t>to qualify for 5</t>
    </r>
    <r>
      <rPr>
        <sz val="8"/>
        <rFont val="Arial"/>
        <family val="2"/>
      </rPr>
      <t>:
Utilize accepted default value of 1.25% of the volume of water supplied as an expedient means to gain a reasonable quantification of all such use.  This is particularly appropriate for water utilities who are in the early stages of the water auditing process, and should focus on other components since the volume of unbilled, umetered consumption is usually a relatively small quatity component, and other larger-quantity components should take priority.</t>
    </r>
  </si>
  <si>
    <r>
      <t>to qualify for 6 or greater</t>
    </r>
    <r>
      <rPr>
        <sz val="8"/>
        <rFont val="Arial"/>
        <family val="2"/>
      </rPr>
      <t>:
Finalize policy and begin to conduct field checks to better establish and quantify such usage.  Proceed if top-down audit exists and/or a great volume of such use is suspected.</t>
    </r>
  </si>
  <si>
    <r>
      <t>to qualify for 8</t>
    </r>
    <r>
      <rPr>
        <sz val="8"/>
        <rFont val="Arial"/>
        <family val="2"/>
      </rPr>
      <t xml:space="preserve">:
Assess water utility policy and procedures for various unmetered usages.  For example, ensure that a policy exists and permits are issued for use of fire hydrants by persons outside of the utility.  Create written procedures for use and documentation of fire hydrants by water utility personnel.  Use same approach for other types of unbilled, unmetered water usage. </t>
    </r>
  </si>
  <si>
    <r>
      <t>to qualify for 10</t>
    </r>
    <r>
      <rPr>
        <sz val="8"/>
        <rFont val="Arial"/>
        <family val="2"/>
      </rPr>
      <t>:
Refine written procedures to ensure that all uses of unbilled, unmetered water are overseen by a structured permitting process managed by water utility personnel.  Reassess policy to determine if some of these uses have value in being converted to billed and/or metered status.</t>
    </r>
  </si>
  <si>
    <r>
      <t>to maintain 10</t>
    </r>
    <r>
      <rPr>
        <sz val="8"/>
        <rFont val="Arial"/>
        <family val="2"/>
      </rPr>
      <t>:
Continue to refine policy and procedures with intention of reducing the number of allowable uses of water in unbilled and unmetered fashion.  Any uses that can feasibly become billed and metered should be converted eventually.</t>
    </r>
  </si>
  <si>
    <t xml:space="preserve">Procedures exist to document some unauthorized consumption such as observed unauthorized fire hydrant openings.  Use formulae to quantify this consumption (time running multiplied typical flowrate, multiplied by number of  events).  </t>
  </si>
  <si>
    <t>Default value of 0.25% of volume of water supplied is employed</t>
  </si>
  <si>
    <t xml:space="preserve">Coherent policies exist for some forms of unauthorized consumption (more than simply fire hydrant misuse) but others await closer evaluation. Reasonable surveillance and recordkeeping exist for occurrences that fall under the policy.  Volumes quantified by inference from these records. </t>
  </si>
  <si>
    <t>Clear policies and good auditable recordkeeping exist for certain events (ex: tampering with water meters, illegal bypasses of customer meters); but other occurrences have limited oversight.  Total consumption is a combination of volumes from formulae (time x typical flow) and subjective estimates of unconfirmed consumption.</t>
  </si>
  <si>
    <r>
      <t>to qualify for 5</t>
    </r>
    <r>
      <rPr>
        <sz val="8"/>
        <rFont val="Arial"/>
        <family val="2"/>
      </rPr>
      <t xml:space="preserve">:
Use accepted default of 0.25% of volume of water supplied.
</t>
    </r>
    <r>
      <rPr>
        <u/>
        <sz val="8"/>
        <rFont val="Arial"/>
        <family val="2"/>
      </rPr>
      <t>to qualify for 2</t>
    </r>
    <r>
      <rPr>
        <sz val="8"/>
        <rFont val="Arial"/>
        <family val="2"/>
      </rPr>
      <t>:
Review utility policy regarding what water uses are considered unauthorized, and consider tracking a small sample of one such occurrence (ex: unauthorized fire hydrant openings)</t>
    </r>
  </si>
  <si>
    <r>
      <t>to qualify for 5</t>
    </r>
    <r>
      <rPr>
        <sz val="8"/>
        <rFont val="Arial"/>
        <family val="2"/>
      </rPr>
      <t xml:space="preserve">:
Use accepted default of 0.25% of system input volume
</t>
    </r>
    <r>
      <rPr>
        <u/>
        <sz val="8"/>
        <rFont val="Arial"/>
        <family val="2"/>
      </rPr>
      <t>to qualify for 4</t>
    </r>
    <r>
      <rPr>
        <sz val="8"/>
        <rFont val="Arial"/>
        <family val="2"/>
      </rPr>
      <t>:
Review utility policy regarding what water uses are considered unauthorized, and consider tracking a small sample of one such occurrence (ex: unauthorized fire hydrant openings)</t>
    </r>
  </si>
  <si>
    <r>
      <t>to qualify for 5</t>
    </r>
    <r>
      <rPr>
        <sz val="8"/>
        <rFont val="Arial"/>
        <family val="2"/>
      </rPr>
      <t>:
Utilize accepted default value of 0.25% of volume of water supplied as an expedient means to gain a reasonable quantification of all such use.  This is particularly appropriate for water utilities who are in the early stages of the water auditing process.</t>
    </r>
  </si>
  <si>
    <r>
      <t>to qualify for 6 or greater</t>
    </r>
    <r>
      <rPr>
        <sz val="8"/>
        <rFont val="Arial"/>
        <family val="2"/>
      </rPr>
      <t>:
Finalize policy updates to clearly identify the types of water consumption that are authorized from those usages that fall outside of this policy and are, therefore, unauthorized.  Begin to conduct regular field checks.  Proceed if the top-down audit already exists and/or a great volume of such use is suspected.</t>
    </r>
  </si>
  <si>
    <r>
      <t>to quality for 8</t>
    </r>
    <r>
      <rPr>
        <sz val="8"/>
        <rFont val="Arial"/>
        <family val="2"/>
      </rPr>
      <t xml:space="preserve">:
Assess water utility policies to ensure that all known occurrences of unauthorized consumption are outlawed, and that appropriate penalties are prescribed.  Create written procedures for detection and documentation of various occurrences of unauthorized consumption as they are uncovered.   </t>
    </r>
  </si>
  <si>
    <r>
      <t>to qualify for 10</t>
    </r>
    <r>
      <rPr>
        <sz val="8"/>
        <rFont val="Arial"/>
        <family val="2"/>
      </rPr>
      <t xml:space="preserve">:
Refine written procedures and assign staff to seek out likely occurrences of unauthorized consumption.  Explore new locking devices, monitors and other technologies designed to detect and thwart unauthorized consumption. </t>
    </r>
  </si>
  <si>
    <r>
      <t>to maintain 10</t>
    </r>
    <r>
      <rPr>
        <sz val="8"/>
        <rFont val="Arial"/>
        <family val="2"/>
      </rPr>
      <t xml:space="preserve">:
Continue to refine policy and procedures to eliminate any loopholes that allow or tacitly encourage unauthorized consumption.  Continue to be vigilant in detection, documentation and enforcement efforts.  </t>
    </r>
  </si>
  <si>
    <t>Customer meters exist, but with unorganized paper records on meters; no meter accuracy testing or meter replacement program for any size of retail meter.  Metering workflow is driven chaotically with no proactive management.  Loss volume due to aggregate meter inaccuracy is guesstimated.</t>
  </si>
  <si>
    <t>Poor recordkeeping and meter oversight is recognized by water utility management who has allotted staff and funding resources to organize improved recordkeeping and start meter accuracy testing.  Existing paper records gathered and organized to provide cursory disposition of meter population.  Customer meters are tested for accuracy only upon customer request.</t>
  </si>
  <si>
    <t>Reliable recordkeeping exists; meter information is improving as meters are replaced.    Meter accuracy testing is conducted annually for a small number of meters (more than just customer requests, but less than 1% of inventory).  A limited number of the oldest meters are replaced each year.  Inaccuracy volume is largely an estimate, but refined based upon limited testing data.</t>
  </si>
  <si>
    <t>A reliable electronic recordkeeping system for meters exists.  The meter population includes a mix of new high performing meters and dated meters with suspect accuracy.  Routine, but limited, meter accuracy testing and meter replacement occur.  Inaccuracy volume is quantified using a mix of reliable and less certain data.</t>
  </si>
  <si>
    <t xml:space="preserve">Ongoing meter replacement and accuracy testing result in highly accurate customer meter population.  Testing is conducted on samples of meters of varying age and accumulated volume of throughput to determine optimum replacement time for various types of meters.  </t>
  </si>
  <si>
    <t>Ongoing meter replacement and accuracy testing result in highly accurate customer meter population.  Statistically significant number of meters are tested in audit year.  This testing is conducted on samples of meters of varying age and accumulated volume of throughput to determine optimum replacement time for these meters.</t>
  </si>
  <si>
    <r>
      <t>to qualify for 2</t>
    </r>
    <r>
      <rPr>
        <sz val="8"/>
        <rFont val="Arial"/>
        <family val="2"/>
      </rPr>
      <t>:
Gather available meter purchase records.  Conduct testing on a small number of meters believed to be the most inaccurate.  Review staffing needs of the metering group and budget for necessary resources to better organize meter management.</t>
    </r>
  </si>
  <si>
    <r>
      <t>to qualify for 4</t>
    </r>
    <r>
      <rPr>
        <sz val="8"/>
        <rFont val="Arial"/>
        <family val="2"/>
      </rPr>
      <t>:
Implement a reliable record keeping system for customer meter histories, preferably using electronic methods typically linked to, or part of, the Customer Billing System or Customer Information System.  Expand meter accuracy testing to a larger group of meters.</t>
    </r>
  </si>
  <si>
    <r>
      <t>to qualify for 6</t>
    </r>
    <r>
      <rPr>
        <sz val="8"/>
        <rFont val="Arial"/>
        <family val="2"/>
      </rPr>
      <t>:
Standardize the procedures for meter recordkeeping within an electronic information system.  Accelerate meter accuracy testing and meter replacements guided by testing results.</t>
    </r>
  </si>
  <si>
    <r>
      <t>to qualify for 8</t>
    </r>
    <r>
      <rPr>
        <sz val="8"/>
        <rFont val="Arial"/>
        <family val="2"/>
      </rPr>
      <t>:
Expand annual meter accuracy testing to evaluate a statistically significant number of meter makes/models.  Expand meter replacement program to replace statistically significant number of poor performing meters each year.</t>
    </r>
  </si>
  <si>
    <r>
      <t>to qualify for 9</t>
    </r>
    <r>
      <rPr>
        <sz val="8"/>
        <rFont val="Arial"/>
        <family val="2"/>
      </rPr>
      <t>:
Continue efforts to manage meter population with reliable recordkeeping.  Test a statistically significant number of meters each year and analyze test results in an ongoing manner to serve as a basis for a target meter replacement strategy based upon accumulated volume throughput.</t>
    </r>
  </si>
  <si>
    <r>
      <t>to qualify for 10</t>
    </r>
    <r>
      <rPr>
        <sz val="8"/>
        <rFont val="Arial"/>
        <family val="2"/>
      </rPr>
      <t>:
Continue efforts to manage meter population with reliable recordkeeping, meter testing and replacement.  Evaluate new meter types and install one or more types in 5-10 customer accounts each year in order to pilot improving metering technology.</t>
    </r>
  </si>
  <si>
    <r>
      <t>to maintain 10</t>
    </r>
    <r>
      <rPr>
        <sz val="8"/>
        <rFont val="Arial"/>
        <family val="2"/>
      </rPr>
      <t>:
Increase the number of meters tested and replaced as justified by meter accuracy test data.  Continually monitor development of new metering technology and Advanced Metering Infrastructure (AMI) to grasp opportunities for greater accuracy in metering of water flow and management of customer consumption data.</t>
    </r>
  </si>
  <si>
    <t>Policies and procedures for activation of new customer water billing accounts are vague and lack accountability. Billing data is maintained on paper records which are not well organized.  No auditing is conducted to confirm billing data handling efficiency.  An unknown number of customers escape routine billing due to lack of billing process oversight.</t>
  </si>
  <si>
    <t>Policy and procedures for activation of new customer accounts and oversight of billing records exist but need refinement. Billing data is maintained on paper records or insufficiently capable electronic database.  Only periodic unstructured auditing work is conducted to confirm billing data handling efficiency.  The volume of unbilled water due to billing lapses is a guess.</t>
  </si>
  <si>
    <t>Policy and procedures for new account activation and oversight of billing operations exist but needs refinement.  Computerized billing system exists, but is dated or lacks needed functionality.  Periodic, limited internal audits conducted and confirm with approximate accuracy the consumption volumes lost to billing lapses.</t>
  </si>
  <si>
    <t>Policy and procedures for new account activation and oversight of billing operations is adequate and reviewed periodically.  Computerized billing system is in use with basic reporting available.  Any effect of billing adjustments on measured consumption volumes is well understood.  Internal checks of billing data error conducted annually.  Reasonably accurate quantification of consumption volume lost to billing lapses is obtained.</t>
  </si>
  <si>
    <t>New account activation and billing operations policy and procedures are reviewed at least biannually.  Computerized billing system includes an array of reports to confirm billing data and system functionality.  Checks are conducted routinely to flag and explain zero consumption accounts.  Annual internal checks conducted with third party audit conducted at least once every five years.  Accountability checks flag billing lapses.  Consumption lost to billing lapses is well quantified and reducing year-by-year.</t>
  </si>
  <si>
    <t xml:space="preserve">Sound written policy and procedures exist for new account activation and oversight of customer billing operations.  Robust computerized billing system gives high functionality and reporting capabilities which are utilized, analyzed and the results reported each billing cycle.  Assessment of policy and data handling errors are conducted internally and audited by third party at least once every three years, ensuring consumption lost to billing lapses is minimized and detected as it occurs. </t>
  </si>
  <si>
    <r>
      <t>to qualify for 2</t>
    </r>
    <r>
      <rPr>
        <sz val="8"/>
        <rFont val="Arial"/>
        <family val="2"/>
      </rPr>
      <t xml:space="preserve">:
Draft written policy and procedures for activating new water billing accounts and oversight of billing operations.  Investigate and budget for computerized customer billing system.  Conduct initial audit of billing records by flow-charting the basic business processes of the customer account/billing function.  </t>
    </r>
  </si>
  <si>
    <r>
      <t>to qualify for 4</t>
    </r>
    <r>
      <rPr>
        <sz val="8"/>
        <rFont val="Arial"/>
        <family val="2"/>
      </rPr>
      <t>:
Finalize written policy and procedures for activation of new billing acocunts and overall billing operations management.  Implement a computerized customer billing system.  Conduct initial audit of billing records as part of this process.</t>
    </r>
  </si>
  <si>
    <r>
      <t>to qualify for 6</t>
    </r>
    <r>
      <rPr>
        <sz val="8"/>
        <rFont val="Arial"/>
        <family val="2"/>
      </rPr>
      <t>:
Refine new account activation and billing operations procedures and ensure consistency with the utility policy regarding billing, and minimize opportunity for missed billings.  Upgrade or replace customer billing system for needed functionality - ensure that billing adjustments don't corrupt the value of consumption volumes.  Procedurize internal annual audit process.</t>
    </r>
  </si>
  <si>
    <r>
      <t>to qualify for 8</t>
    </r>
    <r>
      <rPr>
        <sz val="8"/>
        <rFont val="Arial"/>
        <family val="2"/>
      </rPr>
      <t>:
Formalize regular review of new account activation process and general billing practices.  Enhance reporting capability of computerized billing system.  Formalize regular auditing process to reveal scope of data handling error.  Plan for periodic third party audit to occur at least once every five years.</t>
    </r>
  </si>
  <si>
    <r>
      <t>to qualify for 10</t>
    </r>
    <r>
      <rPr>
        <sz val="8"/>
        <rFont val="Arial"/>
        <family val="2"/>
      </rPr>
      <t xml:space="preserve">:
Close policy/procedure  loopholes that allow some customer accounts to go unbilled, or data handling errors to exist.  Ensure that billing system reports are utilized, analyzed and reported every billing cycle.  Ensure that internal and third party audits are conducted at least once every three years. </t>
    </r>
  </si>
  <si>
    <r>
      <t>to maintain 10</t>
    </r>
    <r>
      <rPr>
        <sz val="8"/>
        <rFont val="Arial"/>
        <family val="2"/>
      </rPr>
      <t>:
Stay abreast of customer information management developments and innovations.  Monitor developments of Advanced Metering Infrastructure (AMI) and integrate technology to ensure that customer endpoint information is well-monitored and errors/lapses are at an economic minimum.</t>
    </r>
  </si>
  <si>
    <t>Paper records in poor or uncertain condition (no annual tracking of installations &amp; abandonments).  Poor procedures to ensure that new water mains installed by developers are accurately documented.</t>
  </si>
  <si>
    <t>Sound written policy and procedures exist for documenting new water main installations, but gaps in management result in a uncertain degree of error in tabulation of mains length.</t>
  </si>
  <si>
    <t>Sound written policy and procedures exist for permitting and commissioning new water mains.  Highly accurate paper records with regular field validation; or electronic records and asset management system in good condition.  Includes system backup.</t>
  </si>
  <si>
    <t xml:space="preserve">Sound written policy and procedures exist for permitting and commissioning new water mains.  Electronic recordkeeping such as a Geographical Information System (GIS) and asset management system are used to store and manage data.  </t>
  </si>
  <si>
    <t>Sound written policy exists for managing water mains extensions and replacements.  Geographic Information System (GIS) data and asset management database agree and random field validation proves truth of databases.  Records of annual field validation should be available for review.</t>
  </si>
  <si>
    <r>
      <t>to qualify for 2</t>
    </r>
    <r>
      <rPr>
        <sz val="8"/>
        <rFont val="Arial"/>
        <family val="2"/>
      </rPr>
      <t xml:space="preserve">:
Assign personnel to inventory current as-built records and compare with customer billing system records and highway plans in order to verify poorly documented pipelines.  Assemble policy documents regarding permitting and documentation of water main installations by the utility and building developers; identify gaps in procedures that result in poor documentation of new water main installations. </t>
    </r>
  </si>
  <si>
    <r>
      <t>to qualify for 4</t>
    </r>
    <r>
      <rPr>
        <sz val="8"/>
        <rFont val="Arial"/>
        <family val="2"/>
      </rPr>
      <t>:
Complete inventory of paper records of water main installations for several years prior to audit year.  Review policy and procedures for commissioning and documenting new water main installation.</t>
    </r>
  </si>
  <si>
    <r>
      <t>to qualify for 8</t>
    </r>
    <r>
      <rPr>
        <sz val="8"/>
        <rFont val="Arial"/>
        <family val="2"/>
      </rPr>
      <t>:
Launch random field checks of limited number of locations.  Convert to electronic database such as a Geographic Information System (GIS) with backup as justified.  Develop written policy and procedures.</t>
    </r>
  </si>
  <si>
    <r>
      <t>to qualify for 10</t>
    </r>
    <r>
      <rPr>
        <sz val="8"/>
        <rFont val="Arial"/>
        <family val="2"/>
      </rPr>
      <t>:
Link Geographic Information System (GIS) and asset management databases, conduct field verification of data.  Record field verification information at least annually.</t>
    </r>
  </si>
  <si>
    <r>
      <t>to maintain 10</t>
    </r>
    <r>
      <rPr>
        <sz val="8"/>
        <rFont val="Arial"/>
        <family val="2"/>
      </rPr>
      <t>:
Continue with standardization and random field validation to improve the completeness and accuracy of the system.</t>
    </r>
  </si>
  <si>
    <t xml:space="preserve">Written account activation policy and procedures exist, but with some gaps in performance and oversight.  Computerized information management system is being brought online to replace dated paper recordkeeping system.  Reasonably accurate tracking of service connection installations &amp; abandonments; but count can be up to 5% in error from actual total.  </t>
  </si>
  <si>
    <t xml:space="preserve">Policies and procedures for new account activation and overall billing operations are written, well-structured and reviewed at least biannually.  Well-managed computerized information management system exists and routine, periodic field checks and internal system audits are conducted.  Counts of connections are no more than 2% in error. </t>
  </si>
  <si>
    <t>Sound written policy and well managed and audited procedures ensure reliable management of service connection population.  Computerized information management system, Customer Billing System, and Geographic Information System (GIS) information agree; field validation proves truth of databases.  Count of connections recorded as being in error is less than 1% of the entire population.</t>
  </si>
  <si>
    <r>
      <t>to qualify for 2</t>
    </r>
    <r>
      <rPr>
        <sz val="8"/>
        <rFont val="Arial"/>
        <family val="2"/>
      </rPr>
      <t>:
Draft new policy and procedures for new account activation and overall billing operations.  Research and collect paper records of installations &amp; abandonments for several years prior to audit year.</t>
    </r>
  </si>
  <si>
    <r>
      <t>to qualify for 4</t>
    </r>
    <r>
      <rPr>
        <sz val="8"/>
        <rFont val="Arial"/>
        <family val="2"/>
      </rPr>
      <t>:
Refine policy and procedures for new account activation and overall billing operations.  Research computerized recordkeeping system (Customer Information System or Customer Billing System) to improve documentation format for service connections.</t>
    </r>
  </si>
  <si>
    <r>
      <t>to qualify for 6</t>
    </r>
    <r>
      <rPr>
        <sz val="8"/>
        <rFont val="Arial"/>
        <family val="2"/>
      </rPr>
      <t>:
Refine procedures to ensure consistency with new account activation and overall billing policy to establish new service connections or decommission existing connections.  Improve process to include all totals for at least five years prior to audit year.</t>
    </r>
  </si>
  <si>
    <r>
      <t>to qualify for 8</t>
    </r>
    <r>
      <rPr>
        <sz val="8"/>
        <rFont val="Arial"/>
        <family val="2"/>
      </rPr>
      <t xml:space="preserve">:
Formalize regular review of new account activation and overall billing operations policies and procedures.  Launch random field checks of limited number of locations.  Develop reports and auditing mechanisms for computerized information management system. </t>
    </r>
  </si>
  <si>
    <r>
      <t>to qualify for 10</t>
    </r>
    <r>
      <rPr>
        <sz val="8"/>
        <rFont val="Arial"/>
        <family val="2"/>
      </rPr>
      <t>:
Close any procedural loopholes that allow installations to go undocumented.  Link computerized information management system with Geographic Information System (GIS) and formalize field inspection and information system auditing processes.  Documentation of new or decommissioned service connections encounters several levels of checks and balances.</t>
    </r>
  </si>
  <si>
    <r>
      <t>to maintain 10</t>
    </r>
    <r>
      <rPr>
        <sz val="8"/>
        <rFont val="Arial"/>
        <family val="2"/>
      </rPr>
      <t>:
Continue with standardization and random field validation to improve knowledge of system.</t>
    </r>
  </si>
  <si>
    <t xml:space="preserve">Clear written policy exists to define utility/customer responsibility for service connection piping.  Accurate, well-maintained paper or basic electronic recordkeeping system exists.  Periodic field checks confirm piping lengths for a sample of customer properties.   </t>
  </si>
  <si>
    <r>
      <t>to qualify for 4</t>
    </r>
    <r>
      <rPr>
        <sz val="8"/>
        <rFont val="Arial"/>
        <family val="2"/>
      </rPr>
      <t>:
Formalize and communicate policy delineating utility/customer responsibilities for service connection piping.  Assess accuracy of paper records by field inspection of a small sample of service connections using pipe locators as needed.  Research the potential migration to a computerized information management system to store service connection data.</t>
    </r>
  </si>
  <si>
    <r>
      <t>to qualify for 8</t>
    </r>
    <r>
      <rPr>
        <sz val="8"/>
        <rFont val="Arial"/>
        <family val="2"/>
      </rPr>
      <t xml:space="preserve">:
Implement an electronic means of recordkeeping, typically via a customer information system, customer billing system, or Geographic Information System (GIS).  Standardize the process to conduct field checks of a limited number of locations.  </t>
    </r>
  </si>
  <si>
    <r>
      <t>to qualify for 10</t>
    </r>
    <r>
      <rPr>
        <sz val="8"/>
        <rFont val="Arial"/>
        <family val="2"/>
      </rPr>
      <t>:
Link customer information management system and Geographic Information System (GIS), standardize process for field verification of data.</t>
    </r>
  </si>
  <si>
    <r>
      <t>to maintain 10</t>
    </r>
    <r>
      <rPr>
        <sz val="8"/>
        <rFont val="Arial"/>
        <family val="2"/>
      </rPr>
      <t>:
Continue with standardization and random field validation to improve knowledge of service connection configurations and customer meter locations.</t>
    </r>
  </si>
  <si>
    <t xml:space="preserve">Limited telemetry monitoring of scattered pumping station and water storage tank sites provides some static pressure data, which is recorded in handwritten logbooks.  Pressure data is gathered at individual sites only when low pressure complaints arise.  Average pressure is determined by averaging relatively crude data, and is affected by significant variation in ground elevations, system head loss and gaps in pressure controls in the distribution system. </t>
  </si>
  <si>
    <t xml:space="preserve">Reliable pressure controls separate distinct pressure zones; only very occasional open boundary valves are encountered that breech pressure zones.  Well-covered telemetry monitoring of the distribution system (not just pumping at source treatment plants or wells) logs extensive pressure data electronically.  Pressure gathered by gauges/dataloggers at fire hydrants and buildings when low pressure complaints arise, and during fire flow tests and system flushing.  Average pressure is determined by using this mix of reliable data. </t>
  </si>
  <si>
    <t xml:space="preserve">Well-managed, discrete pressure zones exist with generally predictable pressure fluctuations.  A current full-scale SCADA System or similar realtime monitoring system exists to monitor the water distribution system and collect data, including real time pressure readings at representative sites across the system.  The average system pressure is determined from reliable monitoring system data. </t>
  </si>
  <si>
    <t>Well-managed pressure districts/zones, SCADA System and hydraulic model exist to give very precise pressure data across the water distribution system.  Average system pressure is reliably calculated from extensive, reliable, and cross-checked data.  Calculations are reported on an annual basis as a minimum.</t>
  </si>
  <si>
    <r>
      <t>to qualify for 2</t>
    </r>
    <r>
      <rPr>
        <sz val="8"/>
        <rFont val="Arial"/>
        <family val="2"/>
      </rPr>
      <t xml:space="preserve">:
Employ pressure gauging and/or datalogging equipment to obtain pressure measurements from fire hydrants.  Locate accurate topographical maps of service area in order to confirm ground elevations.  Research pump data sheets to find pump pressure/flow characteristics  </t>
    </r>
  </si>
  <si>
    <r>
      <t>to qualify for 4</t>
    </r>
    <r>
      <rPr>
        <sz val="8"/>
        <rFont val="Arial"/>
        <family val="2"/>
      </rPr>
      <t xml:space="preserve">:  
Formalize a procedure to use pressure gauging/datalogging equipment to gather pressure data during various system events such as low pressure complaints, or operational testing. Gather pump pressure and flow data at different flow regimes.  Identify faulty pressure controls (pressure reducing valves, altitude valves, partially open boundary valves) and plan to properly configure pressure zones.  Make all pressure data from these efforts available to generate system-wide average pressure. </t>
    </r>
  </si>
  <si>
    <r>
      <t>to qualify for 6</t>
    </r>
    <r>
      <rPr>
        <sz val="8"/>
        <rFont val="Arial"/>
        <family val="2"/>
      </rPr>
      <t xml:space="preserve">:  
Expand the use of pressure gauging/datalogging equipment to gather scattered pressure data at a representative set of sites, based upon pressure zones or areas.  Utilize pump pressure and flow data to determine supply head entering each pressure zone or district.  Correct any faulty pressure controls (pressure reducing valves, altitude valves, partially open boundary valves) to ensure properly configured pressure zones.  Use expanded pressure dataset from these activities to generate system-wide average pressure. </t>
    </r>
  </si>
  <si>
    <r>
      <t>to qualify for 8</t>
    </r>
    <r>
      <rPr>
        <sz val="8"/>
        <rFont val="Arial"/>
        <family val="2"/>
      </rPr>
      <t xml:space="preserve">:  
Install a Supervisory Control and Data Acquisition (SCADA) System, or similar realtime monitoring system, to monitor system parameters and control operations.  Set regular calibration schedule for instrumentation to insure data accuracy.  Obtain accurate topographical data and utilize pressure data gathered from field surveys to provide extensive, reliable data for pressure averaging.  </t>
    </r>
  </si>
  <si>
    <r>
      <t>to qualify for 10</t>
    </r>
    <r>
      <rPr>
        <sz val="8"/>
        <rFont val="Arial"/>
        <family val="2"/>
      </rPr>
      <t xml:space="preserve">:  
Annually, obtain a system-wide average pressure value from the hydraulic model of the distribution system that has been calibrated via field measurements in the water distribution system and confirmed in comparisons with SCADA System data.      </t>
    </r>
  </si>
  <si>
    <r>
      <t>to maintain 10</t>
    </r>
    <r>
      <rPr>
        <sz val="8"/>
        <rFont val="Arial"/>
        <family val="2"/>
      </rPr>
      <t xml:space="preserve">:  
Continue to refine the hydraulic model of the distribution system and consider linking it with SCADA System for real-time pressure data calibration, and averaging.      </t>
    </r>
  </si>
  <si>
    <t>Incomplete paper records and lack of financial accounting documentation on many operating functions makes calculation of water system operating costs a pure guesstimate</t>
  </si>
  <si>
    <t xml:space="preserve">Electronic, industry-standard cost accounting system in place.  However, gaps in data are known to exist, periodic internal reviews are conducted but not a structured financial audit. </t>
  </si>
  <si>
    <t xml:space="preserve">Reliable electronic, industry-standard cost accounting system in place, with all pertinent water system operating costs tracked.  Data audited periodically by utility personnel, but not a Certified Public Accountant (CPA).  </t>
  </si>
  <si>
    <t xml:space="preserve">Reliable electronic, industry-standard cost accounting system in place, with all pertinent water system operating costs tracked.  Data audited at least annually by utility personnel, and at least once every three years by third-party CPA.  </t>
  </si>
  <si>
    <t xml:space="preserve">Reliable electronic, industry-standard cost accounting system in place, with all pertinent water system operating costs tracked.  Data audited annually by utility personnel and annually also by third-party CPA.  </t>
  </si>
  <si>
    <r>
      <t>to qualify for 2</t>
    </r>
    <r>
      <rPr>
        <sz val="8"/>
        <rFont val="Arial"/>
        <family val="2"/>
      </rPr>
      <t>:
Gather available records, institute new financial accounting procedures to regularly collect and audit basic cost data of most important operations functions.</t>
    </r>
  </si>
  <si>
    <r>
      <t>to qualify for 4</t>
    </r>
    <r>
      <rPr>
        <sz val="8"/>
        <rFont val="Arial"/>
        <family val="2"/>
      </rPr>
      <t>:
Implement an electronic cost accounting system, structured according to accounting standards for water utilities</t>
    </r>
  </si>
  <si>
    <r>
      <t>to qualify for 6</t>
    </r>
    <r>
      <rPr>
        <sz val="8"/>
        <rFont val="Arial"/>
        <family val="2"/>
      </rPr>
      <t>:
Establish process for periodic internal audit of water system operating costs; identify cost data gaps and institute procedures for tracking these outstanding costs.</t>
    </r>
  </si>
  <si>
    <r>
      <t>to qualify for 8</t>
    </r>
    <r>
      <rPr>
        <sz val="8"/>
        <rFont val="Arial"/>
        <family val="2"/>
      </rPr>
      <t>:
Standardize the process to conduct routine financial audit on an annual basis.  Arrange for CPA audit of financial records at least once every three years.</t>
    </r>
  </si>
  <si>
    <r>
      <t>to qualify for 10</t>
    </r>
    <r>
      <rPr>
        <sz val="8"/>
        <rFont val="Arial"/>
        <family val="2"/>
      </rPr>
      <t>:
Standardize the process to conduct a third-party financial audit by a CPA on an annual basis.</t>
    </r>
  </si>
  <si>
    <r>
      <t>to maintain 10</t>
    </r>
    <r>
      <rPr>
        <sz val="8"/>
        <rFont val="Arial"/>
        <family val="2"/>
      </rPr>
      <t>:
Maintain program, stay abreast of expenses subject to erratic cost changes and long-term cost trend, and budget/track costs proactively</t>
    </r>
  </si>
  <si>
    <t>Effective water rate structure is in force and is applied reliably in billing operations.  Composite customer rate is determined using a weighted average composite consumption rate, which includes residential, commercial, industrial, institutional (CII), and any other distinct customer classes within the water rate structure.</t>
  </si>
  <si>
    <r>
      <t>to qualify for 2</t>
    </r>
    <r>
      <rPr>
        <sz val="8"/>
        <rFont val="Arial"/>
        <family val="2"/>
      </rPr>
      <t>:
Formalize the process to implement water rates, including a secure documentation procedure.  Create a current, formal water rate document and gain approval from all stakeholders.</t>
    </r>
  </si>
  <si>
    <r>
      <t>to qualify for 4</t>
    </r>
    <r>
      <rPr>
        <sz val="8"/>
        <rFont val="Arial"/>
        <family val="2"/>
      </rPr>
      <t>:
Review the water rate structure and update/formalize as needed.  Assess billing operations to ensure that actual billing operations incorporate the established water rate structure.</t>
    </r>
  </si>
  <si>
    <r>
      <t>to qualify for 6</t>
    </r>
    <r>
      <rPr>
        <sz val="8"/>
        <rFont val="Arial"/>
        <family val="2"/>
      </rPr>
      <t>:
Evaluate volume of water used in each usage block by residential users.  Multiply volumes by full rate structure.</t>
    </r>
  </si>
  <si>
    <t>Launch effort to fully meter the customer population and charge rates based upon water volumes</t>
  </si>
  <si>
    <r>
      <t>to qualify for 8</t>
    </r>
    <r>
      <rPr>
        <sz val="8"/>
        <rFont val="Arial"/>
        <family val="2"/>
      </rPr>
      <t>:
Evaluate volume of water used in each usage block by all classifications of users.  Multiply volumes by full rate structure.</t>
    </r>
  </si>
  <si>
    <r>
      <t>to qualify for 10</t>
    </r>
    <r>
      <rPr>
        <sz val="8"/>
        <rFont val="Arial"/>
        <family val="2"/>
      </rPr>
      <t>:
Conduct a periodic third-party audit of water used in each usage block by all classifications of users.  Multiply volumes by full rate structure.</t>
    </r>
  </si>
  <si>
    <r>
      <t>to maintain 10</t>
    </r>
    <r>
      <rPr>
        <sz val="8"/>
        <rFont val="Arial"/>
        <family val="2"/>
      </rPr>
      <t>:
Keep water rate structure current in addressing the water utility's revenue needs.  Update the calculation of the customer unit rate as new rate components, customer classes, or other components are modified.</t>
    </r>
  </si>
  <si>
    <r>
      <t>to qualify for 2</t>
    </r>
    <r>
      <rPr>
        <sz val="8"/>
        <rFont val="Arial"/>
        <family val="2"/>
      </rPr>
      <t>:
Gather available records, institute new procedures to regularly collect and audit basic cost data and most important operations functions.</t>
    </r>
  </si>
  <si>
    <r>
      <t>to qualify for 6</t>
    </r>
    <r>
      <rPr>
        <sz val="8"/>
        <rFont val="Arial"/>
        <family val="2"/>
      </rPr>
      <t xml:space="preserve">:
Formalize process for regular internal audits of production costs.  Assess whether additional costs (liability, residuals management, equipment wear, impending infrastructure expansion) should be included to calculate a more representative variable production cost.  </t>
    </r>
  </si>
  <si>
    <r>
      <t>to qualify for 8</t>
    </r>
    <r>
      <rPr>
        <sz val="8"/>
        <rFont val="Arial"/>
        <family val="2"/>
      </rPr>
      <t>:
Formalize the accounting process to include direct cost components (power, treatment) as well as indirect cost components (liability, residuals management, etc.)  Arrange to conduct audits by a knowledgable third-party at least once every three years.</t>
    </r>
  </si>
  <si>
    <r>
      <t>to maintain 10</t>
    </r>
    <r>
      <rPr>
        <sz val="8"/>
        <rFont val="Arial"/>
        <family val="2"/>
      </rPr>
      <t>:
Maintain program, stay abreast of expenses subject to erratic cost changes and budget/track costs proactively</t>
    </r>
  </si>
  <si>
    <r>
      <t>to qualify for 6</t>
    </r>
    <r>
      <rPr>
        <sz val="8"/>
        <rFont val="A"/>
      </rPr>
      <t>:
Finalize updates/improvements to written policy and procedures for permitting/commissioning new main installations.  Confirm inventory of records for five years prior to audit year; correct any errors or omissions.</t>
    </r>
  </si>
  <si>
    <t xml:space="preserve"> Enter MM/YYYY numeric format</t>
  </si>
  <si>
    <t>Volume from own sources master meter error adjustment:</t>
  </si>
  <si>
    <t>Grading &gt;&gt;&gt;</t>
  </si>
  <si>
    <r>
      <t xml:space="preserve">Note: The number of Service Connections does </t>
    </r>
    <r>
      <rPr>
        <b/>
        <u/>
        <sz val="8"/>
        <rFont val="Arial"/>
        <family val="2"/>
      </rPr>
      <t>not</t>
    </r>
    <r>
      <rPr>
        <b/>
        <sz val="8"/>
        <rFont val="Arial"/>
        <family val="2"/>
      </rPr>
      <t xml:space="preserve"> include fire hydrant leads/lines connecting the hydrant to the water main</t>
    </r>
  </si>
  <si>
    <t>Systematic Data Handling Errors:</t>
  </si>
  <si>
    <t xml:space="preserve"> The grading assigned to each audit component and the corresponding recommended improvements and actions are highlighted in yellow. Audit accuracy is likely to be improved by prioritizing those items shown in red</t>
  </si>
  <si>
    <t>Andrew Chastain-Howley, PG*, MCSM.   Black &amp; Veatch </t>
  </si>
  <si>
    <t>George Kunkel, P.E.   Philadelphia Water Department</t>
  </si>
  <si>
    <t>Ralph Y. McCord, P.E.   Louisville Water Company</t>
  </si>
  <si>
    <t>Brian M. Skeens, P.E.   CH2M HILL</t>
  </si>
  <si>
    <t>Reinhard Sturm   Water Systems Optimization, Inc.</t>
  </si>
  <si>
    <t>Isabel Szendrey Ramos, P.E.   Autoridad de Acueductos y Alcantarillados</t>
  </si>
  <si>
    <t xml:space="preserve">John H. Van Arsdel   M.E. Simpson Company, Inc. </t>
  </si>
  <si>
    <t>David A. Sayers   Delaware River Basin Commission</t>
  </si>
  <si>
    <t xml:space="preserve">End Date: </t>
  </si>
  <si>
    <t xml:space="preserve">Audit Preparation Date: </t>
  </si>
  <si>
    <t>Use this worksheet to add comments or notes to explain how an input value was calculated, or to document the sources of the information used.</t>
  </si>
  <si>
    <t>Auditors are strongly encouraged to refer to the most current edition of AWWA M36 Manual for Water Audits 
for detailed guidance on the water auditing process and targetting loss reduction levels</t>
  </si>
  <si>
    <t>Will J. Jernigan, P.E.   Cavanaugh &amp; Associates, P.A.</t>
  </si>
  <si>
    <t>This software is intended to serve as a basic tool to compile a preliminary, or “top-down”, water audit.  It is recommended that users also refer to the current edition of the AWWA M36 Publication, Water Audits and Loss Control Programs, for detailed guidance on compiling a comprehensive, or “bottom-up”, water audit using the same water audit methodology.</t>
  </si>
  <si>
    <r>
      <t xml:space="preserve">        AWWA Free Water Audit Software: </t>
    </r>
    <r>
      <rPr>
        <b/>
        <u/>
        <sz val="16"/>
        <color indexed="9"/>
        <rFont val="Arial"/>
        <family val="2"/>
      </rPr>
      <t>Grading Matrix</t>
    </r>
  </si>
  <si>
    <t>International (XX)</t>
  </si>
  <si>
    <t>50% - 75% of treated water production sources are metered, other sources estimated.  Occasional meter accuracy testing or electronic calibration conducted.</t>
  </si>
  <si>
    <t xml:space="preserve">25% - 50% of treated water production sources are metered; other sources estimated.  No regular meter accuracy testing or electronic calibration conducted. </t>
  </si>
  <si>
    <t>Less than 25% of water production sources are metered, remaining sources are estimated.  No regular meter accuracy testing or electronic calibration conducted.</t>
  </si>
  <si>
    <t>Customer population unmetered, and/or only a fixed fee is charged for consumption.</t>
  </si>
  <si>
    <t>Conditions between
4 and 6</t>
  </si>
  <si>
    <t>Current, effective water rate structure is in force and applied reliably in billing operations.  The rate structure and calculations of composite rate - which includes residential, commercial, industrial, institutional (CII), and other distinct customer classes - are reviewed by a third party knowledgeable in the M36 methodology at least once every five years.</t>
  </si>
  <si>
    <t xml:space="preserve">Electronic, industry-standard cost accounting system in place.  Electric power and treatment costs are reliably tracked and allow accurate weighted calculation of unit variable production costs based on these two inputs and water imported purchase costs (if applicable). All costs are audited internally on a periodic basis. </t>
  </si>
  <si>
    <t>Reliable electronic, industry-standard cost accounting system in place, with all pertinent water system operating costs tracked.  Pertinent additional costs beyond power, treatment and water imported purchase costs (if applicable) such as liability, residuals management, wear and tear on equipment, impending expansion of supply, are included in the unit variable production cost, as applicable.  The data is audited at least annually by utility personnel.</t>
  </si>
  <si>
    <t xml:space="preserve">Reliable electronic, industry-standard cost accounting system in place, with all pertinent primary and secondary variable production and water imported purchase  (if applicable) costs tracked.  The data is audited at least annually by utility personnel, and at least once every three years by a third-party knowledgeable in the M36 methodology.  </t>
  </si>
  <si>
    <r>
      <t xml:space="preserve">At least 99% of customers exist with volume-based billing from meter reads.  At least 95% customer meter reading success rate; </t>
    </r>
    <r>
      <rPr>
        <u/>
        <sz val="8"/>
        <rFont val="Arial"/>
        <family val="2"/>
      </rPr>
      <t>or</t>
    </r>
    <r>
      <rPr>
        <sz val="8"/>
        <rFont val="Arial"/>
        <family val="2"/>
      </rPr>
      <t xml:space="preserve"> minimum 80% meter reading success rate, with Automatic Meter Reading (AMR) or Advanced Metering Infrastructure (AMI) trials underway.  Statistically significant customer meter testing and replacement program in place on a continuous basis.  Computerized billing with routine, detailed auditing, including field investigation of representative sample of accounts undertaken annually by utility personnel.  Audit is conducted by third party auditors at least once every three years.</t>
    </r>
  </si>
  <si>
    <t xml:space="preserve">100% of treated water production sources are metered, meter accuracy testing and electronic calibration of related instrumentation is conducted semi-annually, with less than 10% found outside of +/- 3% accuracy. Procedures are reviewed by a third party knowledgeable in the M36 methodology.    </t>
  </si>
  <si>
    <t xml:space="preserve">Good records of all active customer meters exist and include as a minimum: meter number, account number/location, type, size and manufacturer.  Ongoing meter replacement occurs according to a targeted and justified basis.  Regular meter accuracy testing gives a reliable measure of composite inaccuracy volume for the customer meter population.  New metering technology is embraced to keep overall accuracy improving. Procedures are reviewed by a third party knowledgeable in the M36 methodology.    </t>
  </si>
  <si>
    <t>Data Validity Score:</t>
  </si>
  <si>
    <r>
      <t xml:space="preserve">AWWA Free Water Audit Software: </t>
    </r>
    <r>
      <rPr>
        <b/>
        <u/>
        <sz val="16"/>
        <color indexed="9"/>
        <rFont val="Arial"/>
        <family val="2"/>
      </rPr>
      <t>Water Balance</t>
    </r>
  </si>
  <si>
    <t xml:space="preserve">Hourly production meter data logged automatically &amp; reviewed on at least a weekly basis.  Data is adjusted to correct gross error when meter/instrumentation equipment malfunction is detected; and/or error is confirmed by meter accuracy testing.  Tank/storage facility elevation changes are automatically used in calculating a balanced "Volume from own sources" component, and data gaps in the archived data are corrected on at least a weekly basis.  </t>
  </si>
  <si>
    <r>
      <t>to maintain 10</t>
    </r>
    <r>
      <rPr>
        <sz val="8"/>
        <rFont val="Arial"/>
        <family val="2"/>
      </rPr>
      <t>:
Monitor meter innovations for development of more accurate and less expensive flowmeters.  Continue to replace or repair meters as they perform outside of desired accuracy limits.  Stay abreast of new and more accurate water level instruments to better record tank/storage levels and archive the variations in storage volume.  Keep current with SCADA and data management systems to ensure that archived data is well-managed and error free.</t>
    </r>
  </si>
  <si>
    <r>
      <t>Improvements to attain higher data grading for "Water Imported Volume" component:
(</t>
    </r>
    <r>
      <rPr>
        <i/>
        <sz val="8"/>
        <rFont val="Arial"/>
        <family val="2"/>
      </rPr>
      <t>Note: usually the water supplier selling the water - "the Exporter" -  to the utility being audited is responsible to maintain the metering installation measuring the imported volume.  The utility should coordinate carefully with the Exporter to ensure that adequate meter upkeep takes place and an accurate measure of the Water Imported volume is quantified.</t>
    </r>
    <r>
      <rPr>
        <sz val="8"/>
        <rFont val="Arial"/>
        <family val="2"/>
      </rPr>
      <t xml:space="preserve">) </t>
    </r>
  </si>
  <si>
    <t xml:space="preserve">Select n/a if the Imported water supply is unmetered, with Imported water quantities estimated on the billing invoices sent by the Exporter to the purchasing Utility. </t>
  </si>
  <si>
    <t xml:space="preserve">Inventory information on imported meters and paper records of measured volumes exist but are incomplete and/or in a very crude condition; data error cannot be determined   Written agreement(s) with water Exporter(s) are missing or written in vague language concerning meter management and testing. </t>
  </si>
  <si>
    <t xml:space="preserve">Imported supply metered flow data is logged automatically in electronic format and reviewed at least on a monthly basis by the Exporter with necessary corrections implemented.  Meter data is adjusted by the Exporter when gross data errors are detected.  A coherent data trail exists for this process to protect both the selling and the purchasing Utility.  Written agreement exists and clearly states requirements and roles for meter accuracy testing and data management. </t>
  </si>
  <si>
    <t xml:space="preserve">Hourly Imported supply metered data is logged automatically &amp; reviewed on at least a weekly basis by the Exporter.  Data is adjusted to correct gross error when meter/instrumentation equipment malfunction is detected; and to correct for error confirmed by meter accuracy testing.  Any data gaps in the archived data are detected and corrected during the weekly review.  A coherent data trail exists for this process to protect both the selling and the purchasing Utility.    </t>
  </si>
  <si>
    <t xml:space="preserve">Computerized system (SCADA or similar) automatically records data which is reviewed each business day by the Exporter.  Tight accountability controls ensure that all error/data gaps that occur in the archived flow data are quickly detected and corrected.  A reliable data trail exists and contract provisions for meter testing and data management are reviewed by the selling and purchasing Utility at least once every five years.  </t>
  </si>
  <si>
    <r>
      <t xml:space="preserve">to qualify for 2:
</t>
    </r>
    <r>
      <rPr>
        <sz val="8"/>
        <rFont val="Arial"/>
        <family val="2"/>
      </rPr>
      <t>Develop a plan to restructure recordkeeping system to capture all flow data; set a procedure to review flow data on a daily  basis to detect input errors.  Obtain more reliable information about existing meters by conducting field inspections of meters and related instrumentation, and obtaining manufacturer literature.  Review the written agreement between the selling and purchasing Utility.</t>
    </r>
  </si>
  <si>
    <r>
      <t>to qualify for 4</t>
    </r>
    <r>
      <rPr>
        <sz val="8"/>
        <rFont val="Arial"/>
        <family val="2"/>
      </rPr>
      <t xml:space="preserve">:
Install automatic datalogging equipment on Imported supply meters.  Set a procedure to review this data on a monthly basis to detect gross anomalies and data gaps.  Launch discussions with the Exporters to jointly review terms of the written agreements regarding meter accuracy testing and data management; revise the terms as necessary.      </t>
    </r>
  </si>
  <si>
    <r>
      <t>to qualify for 10</t>
    </r>
    <r>
      <rPr>
        <sz val="8"/>
        <rFont val="Arial"/>
        <family val="2"/>
      </rPr>
      <t xml:space="preserve">:
Conduct accountability checks to confirm that all Imported supply metered data is reviewed and corrected each business day by the Exporter.  Results of all meter accuracy tests and data corrections should be available for sharing between the Exporter and the purchasing Utility.  Establish a schedule for a regular review and updating of the contractual language in the written agreement between the selling and the purchasing Utility; at least every five years. </t>
    </r>
  </si>
  <si>
    <r>
      <t>to maintain 10</t>
    </r>
    <r>
      <rPr>
        <sz val="8"/>
        <rFont val="Arial"/>
        <family val="2"/>
      </rPr>
      <t xml:space="preserve">:
Monitor meter innovations for development of more accurate and less expensive flowmeters; work with the Exporter to help identify meter replacement needs.  Keep communication lines with Exporters open and maintain productive relations.  Keep the written agreement current with clear and explicit language that meets the ongoing needs of all parties. </t>
    </r>
  </si>
  <si>
    <r>
      <t>Improvements to attain higher data grading for "Water Exported Volume" component:
(</t>
    </r>
    <r>
      <rPr>
        <i/>
        <sz val="8"/>
        <rFont val="Arial"/>
        <family val="2"/>
      </rPr>
      <t>Note: usually, if the water utility being audited sells (Exports) water to a neighboring purchasing Utility, it is the responsibility of the utility exporting the water to maintain the metering installation measuring the Exported volume.  The utility exporting the water should ensure that adequate meter upkeep takes place and an accurate measure of the Water Exported volume is quantified.</t>
    </r>
    <r>
      <rPr>
        <sz val="8"/>
        <rFont val="Arial"/>
        <family val="2"/>
      </rPr>
      <t xml:space="preserve">) </t>
    </r>
  </si>
  <si>
    <r>
      <t xml:space="preserve">to qualify for 10:
</t>
    </r>
    <r>
      <rPr>
        <sz val="8"/>
        <rFont val="Arial"/>
        <family val="2"/>
      </rPr>
      <t xml:space="preserve">Maintain annual meter accuracy testing for all meters.  Repair or replace meters outside of +/- 3% accuracy.  Investigate new meter technology; pilot one or more replacements with innovative meters in attempt to improve meter accuracy. </t>
    </r>
  </si>
  <si>
    <t>Continuous exported supply metered flow data is logged automatically &amp; reviewed each business day by the utility selling (exporting) the water.  Data is adjusted to correct gross error from detected meter/instrumentation equipment malfunction and any error confirmed by meter accuracy testing.  Any data errors/gaps are detected and corrected on a daily basis.  A data trail exists for the process to protect both the selling (exporting) Utility and the purchasing Utility.</t>
  </si>
  <si>
    <t xml:space="preserve">Computerized system (SCADA or similar) automatically records data which is reviewed each business day by the utility selling (exporting) the water.  Tight accountability controls ensure that all error/data gaps that occur in the archived flow data are quickly detected and corrected.  A reliable data trail exists and contract provisions for meter testing and data management are reviewed by the selling Utility and purchasing Utility at least once every five years.  </t>
  </si>
  <si>
    <r>
      <t xml:space="preserve">Water utility policy </t>
    </r>
    <r>
      <rPr>
        <u/>
        <sz val="8"/>
        <rFont val="Arial"/>
        <family val="2"/>
      </rPr>
      <t>does</t>
    </r>
    <r>
      <rPr>
        <sz val="8"/>
        <rFont val="Arial"/>
        <family val="2"/>
      </rPr>
      <t xml:space="preserve"> require metering and volume based billing in general.  However, a liberal amount of exemptions and a lack of clearly written and communicated procedures result in up to 20% of billed accounts believed to be unmetered by exemption; or the water utility is in transition to becoming fully metered, and a large number of customers remain unmetered.  A rough estimate of  the annual consumption for all unmetered accounts is included in the annual water audit, with no inspection of individual unmetered accounts.</t>
    </r>
  </si>
  <si>
    <t>Improvements to attain higher data grading for "Unbilled Metered Consumption" component:</t>
  </si>
  <si>
    <t>Clear policies exist to identify all known unauthorized uses of water.  Staff and procedures exist to provide enforcement of policies and detect violations.  Each occurrence is recorded and quantified via formulae (estimated time running multiplied by typical flow) or similar methods.  All records and calculations should exist in a form that can be audited by a third party.</t>
  </si>
  <si>
    <t>Written new account activation and overall billing policies and procedures are adequate and reviewed periodically.  Computerized information management system is in use with annual installations &amp; abandonments totaled.  Very limited field verifications and audits.  Error in count of number of service connections is believed to be no more than 3%.</t>
  </si>
  <si>
    <t>Improvements to attain higher data grading for "Number of Active and Inactive Service Connections" component:</t>
  </si>
  <si>
    <t>Note: if customer water meters are located outside of the customer building next to the curb stop or boundary separating utility/customer responsibility, then the auditor should answer "Yes" to the question on the Reporting Worksheet asking about this.  If the answer is Yes, the grading description listed under the Grading of 10(a) will be followed, with a value of zero automatically entered at a Grading of 10.  See the Service Connection Diagram worksheet for a visual presentation of this distance.</t>
  </si>
  <si>
    <t>Vague policy exists to define the delineation of water utility ownership and customer ownership of the service connection piping.  Curb stops are perceived as the breakpoint but these have not been well-maintained or documented.  Most are buried or obscured.  Their location varies widely from site-to-site, and estimating this distance is arbitrary due to the unknown location of many curb stops.</t>
  </si>
  <si>
    <t>Policy requires that the curb stop serves as the delineation point between water utility ownership and customer ownership of the service connection piping.  The piping from the water main to the curb stop is the property of the water utility; and the piping from the curb stop to the customer building is owned by the customer.  Curb stop locations are not well documented and the average distance is based upon a limited number of locations measured in the field.</t>
  </si>
  <si>
    <t>Clearly worded policy standardizes the location of curb stops and meters, which are inspected upon installation.  Accurate and well maintained electronic records exist with periodic field checks to confirm locations of service lines, curb stops and customer meter pits.  An accurate number of customer properties from the customer billing system allows for reliable averaging of this length.</t>
  </si>
  <si>
    <r>
      <t>Either of two conditions can be met for a grading of 10</t>
    </r>
    <r>
      <rPr>
        <sz val="8"/>
        <rFont val="Arial"/>
        <family val="2"/>
      </rPr>
      <t>:
a) Customer water meters exist outside of customer buildings next to the curb stop or boundary separating utility/customer responsibility for service connection piping.  If so, answer "Yes" to the question on the Reporting Working asking about this condition.  A value of zero and a Grading of 10 are automatically entered in the Reporting Worksheet .
b). Meters exist inside customer buildings, or properties are unmetered.  In either case, answer "No" to the Reporting Worksheet question on meter location, and enter a distance determined by the auditor.   For a Grading of 10 this value must be a very reliable number from a Geographic Information System (GIS) and confirmed by a statistically valid number of field checks.</t>
    </r>
  </si>
  <si>
    <t>Gradings 1-9 apply if customer properties are unmetered, if customer meters exist and are located inside the customer building premises, or if the water utility owns and is responsible for the entire service connection piping from the water main to the customer building.  In any of these cases the average distance between the curb stop or boundary separating utility/customer responsibility for service connection piping, and the typical first point of use (ex: faucet) or the customer meter must be quantified.  Gradings of 1-9 are used to grade the validity of the means to quantify this value. (See the "Service Connection Diagram" worksheet)</t>
  </si>
  <si>
    <t xml:space="preserve">Good policy requires that the curb stop serves as the delineation point between water utility ownership and customer ownership of the service connection piping.  Curb stops are generally installed as needed and are reasonably documented.  Their location varies widely from site-to-site, and an estimate of this distance is hindered by the availability of paper records of limited accuracy.   </t>
  </si>
  <si>
    <r>
      <t>to qualify for 2</t>
    </r>
    <r>
      <rPr>
        <sz val="8"/>
        <rFont val="Arial"/>
        <family val="2"/>
      </rPr>
      <t>:
Research and collect paper records of service line installations.  Inspect several sites in the field using pipe locators to locate curb stops.  Obtain the length of this small sample of connections in this manner.</t>
    </r>
  </si>
  <si>
    <r>
      <t>to qualify for 6</t>
    </r>
    <r>
      <rPr>
        <sz val="8"/>
        <rFont val="Arial"/>
        <family val="2"/>
      </rPr>
      <t>:
Establish coherent procedures to ensure that policy for curb stop, meter installation and documentation is followed.  Gain consensus within the water utility for the establishment of a computerized information management system.</t>
    </r>
  </si>
  <si>
    <t>Antiquated, cumbersome water rate structure is used, with periodic historic amendments that were poorly documented and implemented; resulting in classes of customers being billed inconsistent charges.  The actual composite billing rate likely differs significantly from the published water rate structure, but a lack of auditing leaves the degree of error indeterminate.</t>
  </si>
  <si>
    <t>= unauthorized consumption + customer metering inaccuracies + systematic data handling errors
Apparent Losses include all types of inaccuracies associated with customer metering (worn meters as well as improperly sized meters or wrong type of meter for the water usage profile) as well as systematic data handling errors (meter reading, billing, archiving and reporting), plus unauthorized consumption (theft or illegal use).
NOTE: Over-estimation of Apparent Losses results in under-estimation of Real Losses.  Under-estimation of Apparent Losses results in over-estimation of Real Losses.</t>
  </si>
  <si>
    <t>This is the average length of customer service line, Lp, that is owned and maintained by the customer; from the point of ownership transfer to the customer water meter, or building line (if unmetered).  The quantity is one of the data inputs for the calculation of Unavoidable Annual Real Losses (UARL), which serves as the denominator of the performance indicator: Infrastructure Leakage Index (ILI).  The value of Lp is multiplied by the number of customer service connections to obtain a total length of customer owned piping in the system.  The purpose of this parameter is to account for the unmetered service line infrastructure that is the responsibility of the customer for arranging repairs of leaks that occur on their lines.  In many cases leak repairs arranged by customers take longer to be executed than leak repairs arranged by the water utility on utility-maintained piping.  Leaks run longer - and lose more water - on customer-owned service piping, than utility owned piping. 
If the customer water meter exists near the ownership transfer point (usually the curb stop located between the water main and the customer premises) this distance is zero because the meter and transfer point are the same.  This is the often encountered configuration of customer water meters located in an underground meter box or "pit" outside of the customer's building.  The Free Water Audit Software asks a "Yes/No" question about the meter at this location.  If the auditor selects "Yes" then this distance is set to zero and the data grading score for this component is set to 10.
If water meters are typically located inside the customer premise/building, or properties are unmetered, it is up to the water auditor to estimate a system-wide average Lp length based upon the various customer land parcel sizes and building locations in the service area.  Lp will be a shorter length in areas of high density housing, and a longer length in areas of low density housing and varied commercial and industrial buildings.  General parcel demographics should be employed to obtain a composite average Lp length for the entire system.        
Refer to the "Service Connection Diagram" worksheet for a depiction of the service line/metering configurations that typically exist in water utilities.  This worksheet gives guidance on the determination of the Average Length, Lp, for each configuration.</t>
  </si>
  <si>
    <r>
      <t xml:space="preserve">Apparent losses caused by accounting omissions, errant computer programming, gaps in policy, procedure, and permitting/activation of new accounts; and any type of data lapse that results in under-stated customer water consumption in summary billing reports.
</t>
    </r>
    <r>
      <rPr>
        <b/>
        <sz val="10"/>
        <rFont val="Arial"/>
        <family val="2"/>
      </rPr>
      <t xml:space="preserve">
Systematic Data Handling Errors result in a direct loss of revenue potential.  Water utilities can find "lost" revenue by keying on this component.</t>
    </r>
    <r>
      <rPr>
        <sz val="10"/>
        <rFont val="Arial"/>
        <family val="2"/>
      </rPr>
      <t xml:space="preserve">
Utilities typically measure water consumption registered by water meters at customer premises.  The meter should be read routinely (ex: monthly) and the data transferred to the Customer Billing System, which generates and sends a bill to the customer.  </t>
    </r>
    <r>
      <rPr>
        <u/>
        <sz val="10"/>
        <rFont val="Arial"/>
        <family val="2"/>
      </rPr>
      <t>Data Transfer Errors</t>
    </r>
    <r>
      <rPr>
        <sz val="10"/>
        <rFont val="Arial"/>
        <family val="2"/>
      </rPr>
      <t xml:space="preserve"> result in the consumption value being less than the actual consumption, creating an apparent loss.  Such error might occur from illegible and mis-recorded hand-written readings compiled by meter readers, inputting an incorrect meter register unit conversion factor in the automatic meter reading equipment, or a variety of similar errors.
Apparent losses also occur from </t>
    </r>
    <r>
      <rPr>
        <u/>
        <sz val="10"/>
        <rFont val="Arial"/>
        <family val="2"/>
      </rPr>
      <t>Data Analysis Errors</t>
    </r>
    <r>
      <rPr>
        <sz val="10"/>
        <rFont val="Arial"/>
        <family val="2"/>
      </rPr>
      <t xml:space="preserve"> in the archival and data reporting processes of the Customer Billing System.  Inaccurate estimates used for accounts that fail to produce a meter reading are a common source of error.  Billing adjustments may award customers a rightful monetary credit, but do so by creating a negative value of consumption, thus under-stating the actual consumption.  Account activation lapses may allow new buildings to use water for months without meter readings and billing.  Poor permitting and construction inspection practices can result in a new building lacking a billing account, a water meter and meter reading; i.e., the customer is unknown to the utility's billing system.
Close auditing of the permitting, metering, meter reading, billing and reporting processes of the water consumption data trail can uncover data management gaps that create volumes of systematic data handling error.  Utilities should routinely analyze customer billing records to detect data anomalies and quantify these losses.  For example, a billing account that registers zero consumption for two or more billing cycles should be checked to explain why usage has seemingly halted.  Given the revenue loss impacts of these losses, water utilities are well-justified in providing continuous oversight and timely correction of data transfer errors &amp; data handling errors.
If the water auditor has not yet gathered detailed data or assessment of systematic data handling error, it is recommended that the auditor apply the default value of 0.25% of the the Billed Authorized Consumption volume.  However, if the auditor </t>
    </r>
    <r>
      <rPr>
        <u/>
        <sz val="10"/>
        <rFont val="Arial"/>
        <family val="2"/>
      </rPr>
      <t>has</t>
    </r>
    <r>
      <rPr>
        <sz val="10"/>
        <rFont val="Arial"/>
        <family val="2"/>
      </rPr>
      <t xml:space="preserve"> investigated the billing system and its controls, and </t>
    </r>
    <r>
      <rPr>
        <u/>
        <sz val="10"/>
        <rFont val="Arial"/>
        <family val="2"/>
      </rPr>
      <t>has</t>
    </r>
    <r>
      <rPr>
        <sz val="10"/>
        <rFont val="Arial"/>
        <family val="2"/>
      </rPr>
      <t xml:space="preserve"> well validated data that indicates the volume from systematic data handling error is substantially higher or lower than that generated by the default value, then the auditor should enter a quantity that was derived from the utility investigations and select an appropriate grading.  </t>
    </r>
    <r>
      <rPr>
        <u/>
        <sz val="10"/>
        <rFont val="Arial"/>
        <family val="2"/>
      </rPr>
      <t>Note:</t>
    </r>
    <r>
      <rPr>
        <sz val="10"/>
        <rFont val="Arial"/>
        <family val="2"/>
      </rPr>
      <t xml:space="preserve"> negative values are not allowed for this audit component. If the auditor enters zero for this component then a grading of 1 will be automatically assigned. </t>
    </r>
  </si>
  <si>
    <t xml:space="preserve">The cost to produce and supply the next unit of water (e.g., $/million gallons).  This cost is determined by calculating the summed unit costs for ground and surface water treatment and all power used for pumping from the source to the customer.  It may also include other miscellaneous unit costs that apply to the production of drinking water.  It should also include the unit cost of bulk water purchased as an import if applicable.
It is common to apply this unit cost to the volume of Real Losses.  However, if water resources are strained and the ability to meet future drinking water demands is in question, then the water auditor can be justified in applying the Customer Retail Rate to the Real Loss volume, rather than applying the Variable Production Cost.
The Free Water Audit Software applies the Variable Production costs to Real Losses by default.  However, the auditor has the option on the Reporting Worksheet to select the Customer Retail Cost as the basis for the Real Loss cost evaluation if the auditor determines that this is warranted.   </t>
  </si>
  <si>
    <r>
      <t xml:space="preserve">The Water Exported volume is the bulk water conveyed and sold by the water utility to neighboring water systems that exists outside of their service area.  Typically this water is metered at the custody transfer point of interconnection between the two water utilities.  Usually the meter(s) are owned by the water utility that is selling the water: i.e. the exporter.  If the water utility who is compiling the annual water audit sells bulk water in this manner, they are an exporter of water.
Note: The Water Exported volume is sold to wholesale customers who are typically charged a wholesale rate that is different than retail rates charged to the retail customers existing within the service area.  Many state regulatory agencies require that the Water Exported volume be reported to them as a quantity separate and distinct from the retail customer billed consumption.  For these reasons - and others - the Water Exported volume is always quantified separately from Billed Authorized Consumption in the standard water audit. </t>
    </r>
    <r>
      <rPr>
        <b/>
        <sz val="10"/>
        <rFont val="Arial"/>
        <family val="2"/>
      </rPr>
      <t xml:space="preserve"> Be certain not to "double-count" this quantity by including it in both the Water Exported box and the Billed Metered Consumption box of the water audit Reporting Worksheet.  This volume should be included only in the Water Exported box.</t>
    </r>
  </si>
  <si>
    <r>
      <t xml:space="preserve">An estimate or measure of the volume in which the Water Imported volume is incorrect.  This adjustment is a weighted average that represents the collective error for all of the metered and archived imported flow for all days of the audit year.  Meter error can occur in different ways.  A meter may be inaccurate by under-registering flow (did not capture all the flow), or by over-registering flow (overstated the actual flow).  Error in the metered, archived data can also occur due to data gaps caused by temporary outages of the meter or related instrumentation.  All water utilities encounter some level of meter inaccuracy, particularly if meters are aged and infrequently tested.  Occasional errors also occur in the archived metered data.  Thus, a value of zero should </t>
    </r>
    <r>
      <rPr>
        <u/>
        <sz val="10"/>
        <rFont val="Arial"/>
        <family val="2"/>
      </rPr>
      <t>not</t>
    </r>
    <r>
      <rPr>
        <sz val="10"/>
        <rFont val="Arial"/>
        <family val="2"/>
      </rPr>
      <t xml:space="preserve"> be entered.  Enter a negative percentage or value for metered data under-registration; or, enter a positive percentage or value for metered data over-registration.  If regular meter accuracy testing is conducted on the meter(s) - which is usually conducted by the water utility selling the water - then the results of this testing can be used to help quantify the meter error adjustment.  </t>
    </r>
  </si>
  <si>
    <t>= apparent losses + real losses
Water Losses are the difference between Water Supplied and Authorized Consumption.  Water losses can be considered as a total volume for the whole system, or for partial systems such as transmission systems, pressure zones or district metered areas (DMA); if one of these configurations are the basis of the water audit.</t>
  </si>
  <si>
    <t>Unbilled Auth. Cons.</t>
  </si>
  <si>
    <t>Billed Auth. Cons.</t>
  </si>
  <si>
    <t xml:space="preserve">Volume Reporting Units: </t>
  </si>
  <si>
    <t>Use this  abbreviation for labelling the Dashboard NRW chart:</t>
  </si>
  <si>
    <t>----------------------</t>
  </si>
  <si>
    <t>-----------</t>
  </si>
  <si>
    <t>VERSION HISTORY:</t>
  </si>
  <si>
    <t>v1</t>
  </si>
  <si>
    <t>v2</t>
  </si>
  <si>
    <t>v3</t>
  </si>
  <si>
    <t>v4 - v4.2</t>
  </si>
  <si>
    <t>v5</t>
  </si>
  <si>
    <t>The AWWA Water Audit Software was piloted in 2005 (v1.0 beta).  The early versions (1.x) of the software restricted data entry to units of Million Gallons per year.  For each entry into the audit, users identified whether the input was measured or estimated.</t>
  </si>
  <si>
    <t xml:space="preserve">The most significant enhancement in v2 of the software was to allow the user to choose the volumetric units to be used in the audit, Million Gallons or Thousand Cubic Metres (megalitres) per year.  Two financial performance indicators were added to provide feedback to the user on the cost of Real and Apparent losses. </t>
  </si>
  <si>
    <t>In v3, the option to report volumetric units in acre-feet was added.  Another new feature in v3 was the inclusion of default values for two water audit components (unbilled unmetered and unauthorized consumption). v3 also included two examples of completed audits in units of million gallons and Megalitres.  Several checks were added into v3 to provide instant feedback to the user on common data entry problems, in order to help the user complete an accurate water audit.</t>
  </si>
  <si>
    <t>Release
 Date:</t>
  </si>
  <si>
    <t>Version:</t>
  </si>
  <si>
    <t>Number of Worksheets:</t>
  </si>
  <si>
    <t>2005/
2006</t>
  </si>
  <si>
    <t xml:space="preserve">In v5, changes were made to the way Water Supplied information is entered into software, with each major component having a corresponding Master Meter Error Adjustment entry (and data grading requirement).  This required changes to the data validity score calculation; v5 of the software uses a weighting system that is, in part, proportional to the volume of input components.  The Grading Matrix was updated to reflect the new audit inputs and also to include clarifications and additions to the scale descriptions.  The appearance of the software was updated in v5 to make the software more user-friendly and several new features were added to provide more feedback to the user.  Notably, a dashboard tab has been added to provide more visual feedback on the water audit results and associated costs of Non-Revenue Water.   A comments sheet was added to allow the user to track notes, comments and to cite sources used. </t>
  </si>
  <si>
    <t>Key Features and Developments</t>
  </si>
  <si>
    <r>
      <t xml:space="preserve"> AWWA Free Water Audit Software:
 </t>
    </r>
    <r>
      <rPr>
        <b/>
        <u/>
        <sz val="14"/>
        <color indexed="9"/>
        <rFont val="Arial"/>
        <family val="2"/>
      </rPr>
      <t>User Comments</t>
    </r>
  </si>
  <si>
    <t>v4 (and versions 4.x) of the software included a new approach to data grading.  The simple "estimated" or "measured" approach was replaced with a more granular scale (typically 1-10) that reflected descriptions of utility practices and served to describe the confidence and accuracy of the input data.  Each input value had a corresponding scale fully described in the Grading Matrix tab.  The Grading Matrix also showed the actions required to move to a higher grading score.  Grading descriptions were available on the Reporting Worksheet via a pop-up box next to each water audit input.  A water audit data validity score is generated (max = 100) and priority areas for attention (to improve audit accuracy) are identified, once a user completes the requied data grading.  A service connection diagram was also added to help users understand the impact of customer service line configurations on water losses and how this information should be entered into the water audit software.   An acknoweldgements section was also added.  Minor bug fixes resulted in the release of versions 4.1 and 4.2.  A French language version was also made available for v4.2.</t>
  </si>
  <si>
    <r>
      <t xml:space="preserve">At least 97% of customers exist with volume-based billing from meter reads.  At least 90% customer meter reading success rate; </t>
    </r>
    <r>
      <rPr>
        <u/>
        <sz val="8"/>
        <rFont val="Arial"/>
        <family val="2"/>
      </rPr>
      <t>or</t>
    </r>
    <r>
      <rPr>
        <sz val="8"/>
        <rFont val="Arial"/>
        <family val="2"/>
      </rPr>
      <t xml:space="preserve"> at least 80% read success rate with planning and budgeting for trials of Automatic Meter Reading (AMR) or Advanced Metering Infrastructure (AMI) in one or more pilot areas.  Good customer meter records. Regular meter accuracy testing guides replacement of statistically significant number of meters each year.  Routine auditing of computerized billing records for global and detailed statistics occurs annually by utility personnel, and is verified by third party at least once every five years.</t>
    </r>
  </si>
  <si>
    <r>
      <t xml:space="preserve"> AWWA Free Water Audit Software:
 </t>
    </r>
    <r>
      <rPr>
        <b/>
        <u/>
        <sz val="14"/>
        <color indexed="9"/>
        <rFont val="Arial"/>
        <family val="2"/>
      </rPr>
      <t>Examples of Completed and Validated Audits</t>
    </r>
  </si>
  <si>
    <t>Master Meter and Supply Error Adjustments</t>
  </si>
  <si>
    <t>Volume from own sources master meter and supply error adjustment:</t>
  </si>
  <si>
    <t>Improvements to attain higher data grading for "Master meter and supply error adjustment" component:</t>
  </si>
  <si>
    <t xml:space="preserve">
Volume from own sources: Master meter and supply error adjustment</t>
  </si>
  <si>
    <t>Water exported: Master meter and supply error adjustment</t>
  </si>
  <si>
    <t xml:space="preserve">
Water imported: Master meter and supply error adjustment</t>
  </si>
  <si>
    <t>Improvements to attain higher data grading for "Water exported master meter and supply error adjustment" component:</t>
  </si>
  <si>
    <t>Water imported master meter and supply error adjustment:</t>
  </si>
  <si>
    <t>Water exported master meter and supply error adjustment:</t>
  </si>
  <si>
    <t>Improvements to attain higher data grading for "Water imported master meter and supply error adjustment" component:</t>
  </si>
  <si>
    <r>
      <rPr>
        <b/>
        <sz val="20"/>
        <color indexed="9"/>
        <rFont val="Arial"/>
        <family val="2"/>
      </rPr>
      <t>AWWA Free Water Audit Software v5.0</t>
    </r>
    <r>
      <rPr>
        <b/>
        <sz val="20"/>
        <color indexed="9"/>
        <rFont val="Arial"/>
        <family val="2"/>
      </rPr>
      <t xml:space="preserve"> </t>
    </r>
  </si>
  <si>
    <t>AWWA Water Audit Software  Version 5.0 Developed by the Water Loss Control Committee of the American Water Works Association   August, 2014</t>
  </si>
  <si>
    <t>Alain Lalonde, P.Eng.   Master Meter Canada Inc.</t>
  </si>
  <si>
    <t xml:space="preserve">Telephone | Ext.: </t>
  </si>
  <si>
    <t>Continuous Imported supply metered flow data is logged automatically &amp; reviewed each business day by the Exporter.  Data is adjusted to correct gross error from detected meter/instrumentation equipment malfunction and/or results of meter accuracy testing.  Any data errors/gaps are detected and corrected on a daily basis.  A data trail exists for the process to protect both the selling and the purchasing Utility.</t>
  </si>
  <si>
    <t>System Input</t>
  </si>
  <si>
    <r>
      <t xml:space="preserve">UARL (gallons)=(5.41Lm + 0.15Nc + 7.5Lc) xP,          
                     or
UARL (litres)=(18.0Lm + 0.8Nc + 25.0Lc) xP
where:
Lm = length of mains (miles or kilometres)                                        
Nc = number of customer service connections
Lp = the average distance of customer service connection piping (feet or metres)
        (see the Worksheet "Service Connection Diagram" for guidance on deterring the value of Lp)                                         
Lc = total length of customer service connection piping (miles or km) 
     Lc = Nc  X  Lp (miles or kilometres)
P  = Pressure (psi or metres)
The UARL is a theoretical reference value representing the technical low limit of leakage that could be achieved if all of today's best technology could be successfully applied.  It is a key variable in the calculation of the Infrastructure Leakage Index (ILI).  Striving to reduce system leakage to a level close to the UARL is usually not needed unless the water supply is unusually expensive, scarce or both.
NOTE: The UARL calculation has not yet been proven as fully valid for very small, or low pressure water distribution systems.  If, 
</t>
    </r>
    <r>
      <rPr>
        <u/>
        <sz val="10"/>
        <rFont val="Arial"/>
        <family val="2"/>
      </rPr>
      <t>in gallons:</t>
    </r>
    <r>
      <rPr>
        <sz val="10"/>
        <rFont val="Arial"/>
        <family val="2"/>
      </rPr>
      <t xml:space="preserve">
(Lm x 32) + Nc &lt; 3000 or
P &lt;35psi
</t>
    </r>
    <r>
      <rPr>
        <u/>
        <sz val="10"/>
        <rFont val="Arial"/>
        <family val="2"/>
      </rPr>
      <t>in litres:</t>
    </r>
    <r>
      <rPr>
        <sz val="10"/>
        <rFont val="Arial"/>
        <family val="2"/>
      </rPr>
      <t xml:space="preserve">
(Lm x 20) + Nc &lt; 3000 or
P &lt; 25m
then the calculated UARL value may not be valid.  The software does not display a value of UARL or ILI if either of these conditions is true.</t>
    </r>
  </si>
  <si>
    <r>
      <t xml:space="preserve">Either of two conditions can be met to obtain a grading of 10:
1) Third party CPA audit of all pertinent primary and secondary variable production and water imported purchase (if applicable) costs on an annual basis.
or:
2) Water supply is entirely purchased as bulk water imported, and the unit purchase cost - including </t>
    </r>
    <r>
      <rPr>
        <u/>
        <sz val="8"/>
        <rFont val="Arial"/>
        <family val="2"/>
      </rPr>
      <t>all</t>
    </r>
    <r>
      <rPr>
        <sz val="8"/>
        <rFont val="Arial"/>
        <family val="2"/>
      </rPr>
      <t xml:space="preserve"> applicable marginal supply costs - serves as the variable production cost.  If </t>
    </r>
    <r>
      <rPr>
        <u/>
        <sz val="8"/>
        <rFont val="Arial"/>
        <family val="2"/>
      </rPr>
      <t>all</t>
    </r>
    <r>
      <rPr>
        <sz val="8"/>
        <rFont val="Arial"/>
        <family val="2"/>
      </rPr>
      <t xml:space="preserve"> applicable marginal supply costs are not included in this figure, a grade of 10 should </t>
    </r>
    <r>
      <rPr>
        <u/>
        <sz val="8"/>
        <rFont val="Arial"/>
        <family val="2"/>
      </rPr>
      <t>not</t>
    </r>
    <r>
      <rPr>
        <sz val="8"/>
        <rFont val="Arial"/>
        <family val="2"/>
      </rPr>
      <t xml:space="preserve"> be selected.</t>
    </r>
  </si>
  <si>
    <t>John Doe</t>
  </si>
  <si>
    <t>johndoe@water.com</t>
  </si>
  <si>
    <t>701-555-5555</t>
  </si>
  <si>
    <t>XYZ Water Company</t>
  </si>
  <si>
    <t>XYZ</t>
  </si>
  <si>
    <t>USA</t>
  </si>
  <si>
    <t>Calendar Year</t>
  </si>
  <si>
    <t>ND123456789</t>
  </si>
  <si>
    <t>No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</si>
</sst>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5" formatCode="&quot;$&quot;#,##0_);\(&quot;$&quot;#,##0\)"/>
    <numFmt numFmtId="44" formatCode="_(&quot;$&quot;* #,##0.00_);_(&quot;$&quot;* \(#,##0.00\);_(&quot;$&quot;* &quot;-&quot;??_);_(@_)"/>
    <numFmt numFmtId="43" formatCode="_(* #,##0.00_);_(* \(#,##0.00\);_(* &quot;-&quot;??_);_(@_)"/>
    <numFmt numFmtId="164" formatCode="0.000"/>
    <numFmt numFmtId="165" formatCode="#,##0.0"/>
    <numFmt numFmtId="166" formatCode="&quot;$&quot;#,##0"/>
    <numFmt numFmtId="167" formatCode="0.0%"/>
    <numFmt numFmtId="168" formatCode="#,##0.000"/>
    <numFmt numFmtId="169" formatCode="&quot;$&quot;#,##0.00"/>
    <numFmt numFmtId="170" formatCode="0.0"/>
    <numFmt numFmtId="171" formatCode="0.000000"/>
    <numFmt numFmtId="172" formatCode="_(* #,##0.000_);_(* \(#,##0.000\);_(* &quot;-&quot;??_);_(@_)"/>
    <numFmt numFmtId="173" formatCode="_(* #,##0_);_(* \(#,##0\);_(* &quot;-&quot;??_);_(@_)"/>
    <numFmt numFmtId="174" formatCode="mm/yyyy"/>
    <numFmt numFmtId="175" formatCode="m/d/yyyy;@"/>
  </numFmts>
  <fonts count="103">
    <font>
      <sz val="10"/>
      <name val="Arial"/>
    </font>
    <font>
      <sz val="10"/>
      <name val="Arial"/>
      <family val="2"/>
    </font>
    <font>
      <u/>
      <sz val="10"/>
      <color indexed="12"/>
      <name val="Arial"/>
      <family val="2"/>
    </font>
    <font>
      <sz val="8"/>
      <color indexed="81"/>
      <name val="Tahoma"/>
      <family val="2"/>
    </font>
    <font>
      <b/>
      <sz val="8"/>
      <color indexed="81"/>
      <name val="Tahoma"/>
      <family val="2"/>
    </font>
    <font>
      <sz val="10"/>
      <name val="Courier New"/>
      <family val="3"/>
    </font>
    <font>
      <sz val="9"/>
      <name val="Courier New"/>
      <family val="3"/>
    </font>
    <font>
      <sz val="11"/>
      <name val="Courier New"/>
      <family val="3"/>
    </font>
    <font>
      <i/>
      <u/>
      <sz val="9"/>
      <color indexed="10"/>
      <name val="Courier New"/>
      <family val="3"/>
    </font>
    <font>
      <sz val="10"/>
      <color indexed="9"/>
      <name val="Courier New"/>
      <family val="3"/>
    </font>
    <font>
      <sz val="9"/>
      <name val="Arial"/>
      <family val="2"/>
    </font>
    <font>
      <sz val="10"/>
      <name val="Arial"/>
      <family val="2"/>
    </font>
    <font>
      <sz val="8"/>
      <name val="Arial"/>
      <family val="2"/>
    </font>
    <font>
      <sz val="10"/>
      <color indexed="22"/>
      <name val="Courier New"/>
      <family val="3"/>
    </font>
    <font>
      <b/>
      <sz val="14"/>
      <color indexed="9"/>
      <name val="Arial"/>
      <family val="2"/>
    </font>
    <font>
      <b/>
      <sz val="11"/>
      <color indexed="48"/>
      <name val="Courier New"/>
      <family val="3"/>
    </font>
    <font>
      <b/>
      <sz val="10"/>
      <name val="Arial"/>
      <family val="2"/>
    </font>
    <font>
      <b/>
      <sz val="8"/>
      <name val="Arial"/>
      <family val="2"/>
    </font>
    <font>
      <vertAlign val="superscript"/>
      <sz val="10"/>
      <name val="Arial"/>
      <family val="2"/>
    </font>
    <font>
      <b/>
      <sz val="10"/>
      <color indexed="10"/>
      <name val="Arial"/>
      <family val="2"/>
    </font>
    <font>
      <sz val="8"/>
      <color indexed="10"/>
      <name val="Tahoma"/>
      <family val="2"/>
    </font>
    <font>
      <sz val="8"/>
      <color indexed="17"/>
      <name val="Tahoma"/>
      <family val="2"/>
    </font>
    <font>
      <sz val="8"/>
      <name val="Arial"/>
      <family val="2"/>
    </font>
    <font>
      <sz val="10"/>
      <color indexed="10"/>
      <name val="Arial"/>
      <family val="2"/>
    </font>
    <font>
      <sz val="8"/>
      <color indexed="12"/>
      <name val="Tahoma"/>
      <family val="2"/>
    </font>
    <font>
      <sz val="8"/>
      <color indexed="20"/>
      <name val="Tahoma"/>
      <family val="2"/>
    </font>
    <font>
      <b/>
      <sz val="16"/>
      <name val="Arial"/>
      <family val="2"/>
    </font>
    <font>
      <b/>
      <sz val="12"/>
      <name val="Arial"/>
      <family val="2"/>
    </font>
    <font>
      <b/>
      <sz val="12"/>
      <name val="Arial"/>
      <family val="2"/>
    </font>
    <font>
      <i/>
      <sz val="10"/>
      <name val="Arial"/>
      <family val="2"/>
    </font>
    <font>
      <sz val="14"/>
      <name val="Arial"/>
      <family val="2"/>
    </font>
    <font>
      <sz val="8"/>
      <color indexed="53"/>
      <name val="Tahoma"/>
      <family val="2"/>
    </font>
    <font>
      <b/>
      <sz val="8"/>
      <color indexed="17"/>
      <name val="Tahoma"/>
      <family val="2"/>
    </font>
    <font>
      <b/>
      <sz val="8"/>
      <color indexed="12"/>
      <name val="Tahoma"/>
      <family val="2"/>
    </font>
    <font>
      <b/>
      <sz val="8"/>
      <color indexed="20"/>
      <name val="Tahoma"/>
      <family val="2"/>
    </font>
    <font>
      <b/>
      <sz val="8"/>
      <color indexed="53"/>
      <name val="Tahoma"/>
      <family val="2"/>
    </font>
    <font>
      <b/>
      <sz val="8"/>
      <color indexed="10"/>
      <name val="Tahoma"/>
      <family val="2"/>
    </font>
    <font>
      <b/>
      <sz val="8"/>
      <color indexed="62"/>
      <name val="Tahoma"/>
      <family val="2"/>
    </font>
    <font>
      <sz val="8"/>
      <color indexed="62"/>
      <name val="Tahoma"/>
      <family val="2"/>
    </font>
    <font>
      <sz val="10"/>
      <color indexed="12"/>
      <name val="Arial"/>
      <family val="2"/>
    </font>
    <font>
      <b/>
      <sz val="14"/>
      <name val="Arial"/>
      <family val="2"/>
    </font>
    <font>
      <b/>
      <sz val="10"/>
      <color indexed="12"/>
      <name val="Arial"/>
      <family val="2"/>
    </font>
    <font>
      <b/>
      <sz val="9"/>
      <name val="Arial"/>
      <family val="2"/>
    </font>
    <font>
      <b/>
      <sz val="8"/>
      <color indexed="22"/>
      <name val="Arial"/>
      <family val="2"/>
    </font>
    <font>
      <b/>
      <sz val="9"/>
      <color indexed="22"/>
      <name val="Arial"/>
      <family val="2"/>
    </font>
    <font>
      <b/>
      <u/>
      <sz val="10"/>
      <name val="Arial"/>
      <family val="2"/>
    </font>
    <font>
      <u/>
      <sz val="10"/>
      <name val="Arial"/>
      <family val="2"/>
    </font>
    <font>
      <b/>
      <sz val="10"/>
      <color indexed="22"/>
      <name val="Arial"/>
      <family val="2"/>
    </font>
    <font>
      <b/>
      <sz val="11"/>
      <name val="Arial Narrow"/>
      <family val="2"/>
    </font>
    <font>
      <b/>
      <u/>
      <sz val="11"/>
      <name val="Arial Narrow"/>
      <family val="2"/>
    </font>
    <font>
      <sz val="11"/>
      <name val="Arial Narrow"/>
      <family val="2"/>
    </font>
    <font>
      <b/>
      <sz val="11"/>
      <color indexed="12"/>
      <name val="Arial Narrow"/>
      <family val="2"/>
    </font>
    <font>
      <b/>
      <sz val="11"/>
      <color indexed="10"/>
      <name val="Arial Narrow"/>
      <family val="2"/>
    </font>
    <font>
      <sz val="11"/>
      <color indexed="8"/>
      <name val="Arial Narrow"/>
      <family val="2"/>
    </font>
    <font>
      <u/>
      <sz val="11"/>
      <name val="Arial Narrow"/>
      <family val="2"/>
    </font>
    <font>
      <u/>
      <sz val="11"/>
      <color indexed="12"/>
      <name val="Arial Narrow"/>
      <family val="2"/>
    </font>
    <font>
      <sz val="11"/>
      <name val="Arial"/>
      <family val="2"/>
    </font>
    <font>
      <sz val="10"/>
      <name val="Arial"/>
      <family val="2"/>
    </font>
    <font>
      <b/>
      <u/>
      <sz val="8"/>
      <color indexed="81"/>
      <name val="Tahoma"/>
      <family val="2"/>
    </font>
    <font>
      <sz val="12"/>
      <name val="Arial Narrow"/>
      <family val="2"/>
    </font>
    <font>
      <b/>
      <sz val="12"/>
      <name val="Arial Narrow"/>
      <family val="2"/>
    </font>
    <font>
      <b/>
      <sz val="12"/>
      <color indexed="12"/>
      <name val="Arial Narrow"/>
      <family val="2"/>
    </font>
    <font>
      <b/>
      <u/>
      <sz val="12"/>
      <name val="Arial Narrow"/>
      <family val="2"/>
    </font>
    <font>
      <sz val="12"/>
      <color indexed="10"/>
      <name val="Arial Narrow"/>
      <family val="2"/>
    </font>
    <font>
      <b/>
      <u/>
      <sz val="14"/>
      <color indexed="9"/>
      <name val="Arial"/>
      <family val="2"/>
    </font>
    <font>
      <b/>
      <sz val="11"/>
      <name val="Arial"/>
      <family val="2"/>
    </font>
    <font>
      <b/>
      <sz val="12"/>
      <color indexed="10"/>
      <name val="Arial Narrow"/>
      <family val="2"/>
    </font>
    <font>
      <sz val="10"/>
      <name val="Arial Narrow"/>
      <family val="2"/>
    </font>
    <font>
      <sz val="10"/>
      <color indexed="9"/>
      <name val="Arial"/>
      <family val="2"/>
    </font>
    <font>
      <b/>
      <sz val="20"/>
      <color indexed="9"/>
      <name val="Arial"/>
      <family val="2"/>
    </font>
    <font>
      <b/>
      <sz val="10"/>
      <color indexed="48"/>
      <name val="Arial"/>
      <family val="2"/>
    </font>
    <font>
      <b/>
      <i/>
      <sz val="10"/>
      <color indexed="8"/>
      <name val="Arial"/>
      <family val="2"/>
    </font>
    <font>
      <u/>
      <sz val="10"/>
      <color indexed="9"/>
      <name val="Arial"/>
      <family val="2"/>
    </font>
    <font>
      <b/>
      <i/>
      <sz val="10"/>
      <color indexed="53"/>
      <name val="Arial"/>
      <family val="2"/>
    </font>
    <font>
      <b/>
      <i/>
      <sz val="10"/>
      <color indexed="10"/>
      <name val="Arial"/>
      <family val="2"/>
    </font>
    <font>
      <b/>
      <i/>
      <u/>
      <sz val="10"/>
      <color indexed="12"/>
      <name val="Arial"/>
      <family val="2"/>
    </font>
    <font>
      <b/>
      <sz val="16"/>
      <color indexed="9"/>
      <name val="Arial"/>
      <family val="2"/>
    </font>
    <font>
      <b/>
      <u/>
      <sz val="16"/>
      <color indexed="9"/>
      <name val="Arial"/>
      <family val="2"/>
    </font>
    <font>
      <b/>
      <u/>
      <sz val="11"/>
      <name val="Arial"/>
      <family val="2"/>
    </font>
    <font>
      <i/>
      <sz val="12"/>
      <name val="Arial"/>
      <family val="2"/>
    </font>
    <font>
      <sz val="12"/>
      <name val="Arial"/>
      <family val="2"/>
    </font>
    <font>
      <i/>
      <vertAlign val="superscript"/>
      <sz val="12"/>
      <name val="Arial"/>
      <family val="2"/>
    </font>
    <font>
      <i/>
      <sz val="11"/>
      <name val="Arial"/>
      <family val="2"/>
    </font>
    <font>
      <i/>
      <u/>
      <sz val="11"/>
      <name val="Arial"/>
      <family val="2"/>
    </font>
    <font>
      <b/>
      <sz val="10"/>
      <color indexed="9"/>
      <name val="Arial"/>
      <family val="2"/>
    </font>
    <font>
      <u/>
      <sz val="8"/>
      <name val="Arial"/>
      <family val="2"/>
    </font>
    <font>
      <i/>
      <sz val="8"/>
      <name val="Arial"/>
      <family val="2"/>
    </font>
    <font>
      <b/>
      <sz val="12"/>
      <color indexed="9"/>
      <name val="Arial"/>
      <family val="2"/>
    </font>
    <font>
      <u/>
      <sz val="8"/>
      <name val="A"/>
    </font>
    <font>
      <sz val="8"/>
      <name val="A"/>
    </font>
    <font>
      <b/>
      <u/>
      <sz val="8"/>
      <name val="Arial"/>
      <family val="2"/>
    </font>
    <font>
      <b/>
      <sz val="14"/>
      <name val="Arial Narrow"/>
      <family val="2"/>
    </font>
    <font>
      <u/>
      <sz val="8"/>
      <color indexed="17"/>
      <name val="Tahoma"/>
      <family val="2"/>
    </font>
    <font>
      <sz val="11"/>
      <color theme="1"/>
      <name val="Calibri"/>
      <family val="2"/>
      <scheme val="minor"/>
    </font>
    <font>
      <b/>
      <sz val="12"/>
      <color theme="3"/>
      <name val="Arial Narrow"/>
      <family val="2"/>
    </font>
    <font>
      <b/>
      <sz val="10"/>
      <color theme="3"/>
      <name val="Arial"/>
      <family val="2"/>
    </font>
    <font>
      <sz val="10"/>
      <color rgb="FFFF0000"/>
      <name val="Arial"/>
      <family val="2"/>
    </font>
    <font>
      <b/>
      <sz val="10"/>
      <color rgb="FFFF0000"/>
      <name val="Arial"/>
      <family val="2"/>
    </font>
    <font>
      <sz val="12"/>
      <color rgb="FFFF0000"/>
      <name val="Arial Narrow"/>
      <family val="2"/>
    </font>
    <font>
      <sz val="10"/>
      <color theme="1"/>
      <name val="Arial"/>
      <family val="2"/>
    </font>
    <font>
      <sz val="8"/>
      <color theme="1"/>
      <name val="Arial"/>
      <family val="2"/>
    </font>
    <font>
      <b/>
      <sz val="12"/>
      <color rgb="FFFF0000"/>
      <name val="Arial Narrow"/>
      <family val="2"/>
    </font>
    <font>
      <sz val="8"/>
      <color rgb="FF000000"/>
      <name val="Tahoma"/>
      <family val="2"/>
    </font>
  </fonts>
  <fills count="26">
    <fill>
      <patternFill patternType="none"/>
    </fill>
    <fill>
      <patternFill patternType="gray125"/>
    </fill>
    <fill>
      <patternFill patternType="solid">
        <fgColor indexed="22"/>
        <bgColor indexed="64"/>
      </patternFill>
    </fill>
    <fill>
      <patternFill patternType="solid">
        <fgColor indexed="9"/>
        <bgColor indexed="64"/>
      </patternFill>
    </fill>
    <fill>
      <patternFill patternType="solid">
        <fgColor indexed="43"/>
        <bgColor indexed="64"/>
      </patternFill>
    </fill>
    <fill>
      <patternFill patternType="solid">
        <fgColor indexed="52"/>
        <bgColor indexed="64"/>
      </patternFill>
    </fill>
    <fill>
      <patternFill patternType="solid">
        <fgColor indexed="42"/>
        <bgColor indexed="64"/>
      </patternFill>
    </fill>
    <fill>
      <patternFill patternType="solid">
        <fgColor indexed="13"/>
        <bgColor indexed="64"/>
      </patternFill>
    </fill>
    <fill>
      <patternFill patternType="solid">
        <fgColor indexed="41"/>
        <bgColor indexed="64"/>
      </patternFill>
    </fill>
    <fill>
      <patternFill patternType="solid">
        <fgColor indexed="47"/>
        <bgColor indexed="64"/>
      </patternFill>
    </fill>
    <fill>
      <patternFill patternType="lightDown">
        <bgColor indexed="9"/>
      </patternFill>
    </fill>
    <fill>
      <patternFill patternType="lightDown"/>
    </fill>
    <fill>
      <patternFill patternType="solid">
        <fgColor indexed="65"/>
        <bgColor indexed="64"/>
      </patternFill>
    </fill>
    <fill>
      <patternFill patternType="solid">
        <fgColor theme="4" tint="0.79998168889431442"/>
        <bgColor indexed="64"/>
      </patternFill>
    </fill>
    <fill>
      <patternFill patternType="solid">
        <fgColor rgb="FFFFFF00"/>
        <bgColor indexed="64"/>
      </patternFill>
    </fill>
    <fill>
      <patternFill patternType="solid">
        <fgColor theme="0" tint="-0.14999847407452621"/>
        <bgColor indexed="64"/>
      </patternFill>
    </fill>
    <fill>
      <patternFill patternType="solid">
        <fgColor theme="7" tint="0.59999389629810485"/>
        <bgColor indexed="64"/>
      </patternFill>
    </fill>
    <fill>
      <patternFill patternType="solid">
        <fgColor theme="9" tint="0.59999389629810485"/>
        <bgColor indexed="64"/>
      </patternFill>
    </fill>
    <fill>
      <patternFill patternType="solid">
        <fgColor theme="6" tint="0.59999389629810485"/>
        <bgColor indexed="64"/>
      </patternFill>
    </fill>
    <fill>
      <patternFill patternType="solid">
        <fgColor theme="4" tint="0.79995117038483843"/>
        <bgColor indexed="64"/>
      </patternFill>
    </fill>
    <fill>
      <patternFill patternType="solid">
        <fgColor rgb="FFFFFF66"/>
        <bgColor indexed="64"/>
      </patternFill>
    </fill>
    <fill>
      <patternFill patternType="solid">
        <fgColor theme="0"/>
        <bgColor indexed="64"/>
      </patternFill>
    </fill>
    <fill>
      <patternFill patternType="solid">
        <fgColor theme="0" tint="-4.9989318521683403E-2"/>
        <bgColor indexed="64"/>
      </patternFill>
    </fill>
    <fill>
      <patternFill patternType="lightDown">
        <bgColor theme="0" tint="-4.9989318521683403E-2"/>
      </patternFill>
    </fill>
    <fill>
      <patternFill patternType="solid">
        <fgColor theme="4" tint="0.79998168889431442"/>
        <bgColor indexed="62"/>
      </patternFill>
    </fill>
    <fill>
      <gradientFill degree="270">
        <stop position="0">
          <color theme="3" tint="0.59999389629810485"/>
        </stop>
        <stop position="1">
          <color theme="4"/>
        </stop>
      </gradientFill>
    </fill>
  </fills>
  <borders count="159">
    <border>
      <left/>
      <right/>
      <top/>
      <bottom/>
      <diagonal/>
    </border>
    <border>
      <left style="medium">
        <color indexed="64"/>
      </left>
      <right style="medium">
        <color indexed="64"/>
      </right>
      <top style="medium">
        <color indexed="64"/>
      </top>
      <bottom style="medium">
        <color indexed="64"/>
      </bottom>
      <diagonal/>
    </border>
    <border>
      <left/>
      <right style="thin">
        <color indexed="64"/>
      </right>
      <top/>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style="double">
        <color indexed="64"/>
      </right>
      <top style="double">
        <color indexed="64"/>
      </top>
      <bottom style="thin">
        <color indexed="64"/>
      </bottom>
      <diagonal/>
    </border>
    <border>
      <left style="medium">
        <color indexed="64"/>
      </left>
      <right style="double">
        <color indexed="64"/>
      </right>
      <top style="thin">
        <color indexed="64"/>
      </top>
      <bottom style="thin">
        <color indexed="64"/>
      </bottom>
      <diagonal/>
    </border>
    <border>
      <left style="medium">
        <color indexed="64"/>
      </left>
      <right style="double">
        <color indexed="64"/>
      </right>
      <top style="thin">
        <color indexed="64"/>
      </top>
      <bottom style="thick">
        <color indexed="64"/>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10"/>
      </left>
      <right style="thin">
        <color indexed="10"/>
      </right>
      <top style="thin">
        <color indexed="10"/>
      </top>
      <bottom style="thin">
        <color indexed="10"/>
      </bottom>
      <diagonal/>
    </border>
    <border>
      <left/>
      <right style="thin">
        <color indexed="48"/>
      </right>
      <top/>
      <bottom/>
      <diagonal/>
    </border>
    <border>
      <left/>
      <right/>
      <top/>
      <bottom style="thin">
        <color indexed="64"/>
      </bottom>
      <diagonal/>
    </border>
    <border>
      <left/>
      <right/>
      <top style="thin">
        <color indexed="48"/>
      </top>
      <bottom style="thin">
        <color indexed="48"/>
      </bottom>
      <diagonal/>
    </border>
    <border>
      <left style="thin">
        <color indexed="48"/>
      </left>
      <right style="thin">
        <color indexed="48"/>
      </right>
      <top style="thin">
        <color indexed="48"/>
      </top>
      <bottom style="thin">
        <color indexed="48"/>
      </bottom>
      <diagonal/>
    </border>
    <border>
      <left style="medium">
        <color indexed="64"/>
      </left>
      <right style="thin">
        <color indexed="64"/>
      </right>
      <top style="medium">
        <color indexed="64"/>
      </top>
      <bottom style="medium">
        <color indexed="64"/>
      </bottom>
      <diagonal/>
    </border>
    <border>
      <left style="thin">
        <color indexed="48"/>
      </left>
      <right/>
      <top/>
      <bottom/>
      <diagonal/>
    </border>
    <border>
      <left/>
      <right style="double">
        <color indexed="48"/>
      </right>
      <top/>
      <bottom/>
      <diagonal/>
    </border>
    <border>
      <left/>
      <right/>
      <top/>
      <bottom style="double">
        <color indexed="48"/>
      </bottom>
      <diagonal/>
    </border>
    <border>
      <left/>
      <right style="double">
        <color indexed="48"/>
      </right>
      <top/>
      <bottom style="double">
        <color indexed="48"/>
      </bottom>
      <diagonal/>
    </border>
    <border>
      <left/>
      <right/>
      <top/>
      <bottom style="thin">
        <color indexed="48"/>
      </bottom>
      <diagonal/>
    </border>
    <border>
      <left style="double">
        <color indexed="48"/>
      </left>
      <right/>
      <top/>
      <bottom/>
      <diagonal/>
    </border>
    <border>
      <left style="double">
        <color indexed="48"/>
      </left>
      <right/>
      <top/>
      <bottom style="double">
        <color indexed="48"/>
      </bottom>
      <diagonal/>
    </border>
    <border>
      <left style="medium">
        <color indexed="64"/>
      </left>
      <right style="double">
        <color indexed="64"/>
      </right>
      <top/>
      <bottom/>
      <diagonal/>
    </border>
    <border>
      <left style="medium">
        <color indexed="64"/>
      </left>
      <right/>
      <top style="medium">
        <color indexed="64"/>
      </top>
      <bottom/>
      <diagonal/>
    </border>
    <border>
      <left style="medium">
        <color indexed="64"/>
      </left>
      <right style="thin">
        <color indexed="64"/>
      </right>
      <top style="thin">
        <color indexed="64"/>
      </top>
      <bottom style="thin">
        <color indexed="64"/>
      </bottom>
      <diagonal/>
    </border>
    <border>
      <left style="medium">
        <color indexed="64"/>
      </left>
      <right/>
      <top/>
      <bottom/>
      <diagonal/>
    </border>
    <border>
      <left style="medium">
        <color indexed="64"/>
      </left>
      <right/>
      <top/>
      <bottom style="medium">
        <color indexed="64"/>
      </bottom>
      <diagonal/>
    </border>
    <border>
      <left/>
      <right/>
      <top style="medium">
        <color indexed="64"/>
      </top>
      <bottom/>
      <diagonal/>
    </border>
    <border>
      <left/>
      <right/>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top/>
      <bottom style="thin">
        <color indexed="64"/>
      </bottom>
      <diagonal/>
    </border>
    <border>
      <left style="dashed">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style="medium">
        <color indexed="64"/>
      </right>
      <top/>
      <bottom style="medium">
        <color indexed="64"/>
      </bottom>
      <diagonal/>
    </border>
    <border>
      <left/>
      <right style="double">
        <color indexed="48"/>
      </right>
      <top style="double">
        <color indexed="48"/>
      </top>
      <bottom/>
      <diagonal/>
    </border>
    <border>
      <left style="double">
        <color indexed="48"/>
      </left>
      <right/>
      <top style="double">
        <color indexed="48"/>
      </top>
      <bottom/>
      <diagonal/>
    </border>
    <border>
      <left style="medium">
        <color indexed="64"/>
      </left>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bottom style="mediumDashed">
        <color indexed="64"/>
      </bottom>
      <diagonal/>
    </border>
    <border>
      <left/>
      <right/>
      <top/>
      <bottom style="mediumDashed">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style="medium">
        <color indexed="64"/>
      </bottom>
      <diagonal/>
    </border>
    <border>
      <left style="thin">
        <color indexed="10"/>
      </left>
      <right/>
      <top style="thin">
        <color indexed="10"/>
      </top>
      <bottom style="thin">
        <color indexed="10"/>
      </bottom>
      <diagonal/>
    </border>
    <border>
      <left/>
      <right/>
      <top style="thin">
        <color indexed="10"/>
      </top>
      <bottom style="thin">
        <color indexed="10"/>
      </bottom>
      <diagonal/>
    </border>
    <border>
      <left/>
      <right style="thin">
        <color indexed="10"/>
      </right>
      <top style="thin">
        <color indexed="10"/>
      </top>
      <bottom style="thin">
        <color indexed="10"/>
      </bottom>
      <diagonal/>
    </border>
    <border>
      <left/>
      <right style="medium">
        <color indexed="64"/>
      </right>
      <top style="medium">
        <color indexed="64"/>
      </top>
      <bottom style="medium">
        <color indexed="64"/>
      </bottom>
      <diagonal/>
    </border>
    <border>
      <left/>
      <right style="thin">
        <color indexed="64"/>
      </right>
      <top/>
      <bottom style="mediumDashed">
        <color indexed="64"/>
      </bottom>
      <diagonal/>
    </border>
    <border>
      <left/>
      <right style="medium">
        <color indexed="64"/>
      </right>
      <top style="thin">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medium">
        <color indexed="64"/>
      </right>
      <top style="thin">
        <color indexed="64"/>
      </top>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right/>
      <top style="double">
        <color indexed="48"/>
      </top>
      <bottom/>
      <diagonal/>
    </border>
    <border>
      <left/>
      <right/>
      <top/>
      <bottom style="thick">
        <color indexed="64"/>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right style="medium">
        <color indexed="64"/>
      </right>
      <top style="thick">
        <color indexed="64"/>
      </top>
      <bottom style="medium">
        <color indexed="64"/>
      </bottom>
      <diagonal/>
    </border>
    <border>
      <left/>
      <right/>
      <top style="medium">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double">
        <color indexed="48"/>
      </left>
      <right/>
      <top style="double">
        <color indexed="48"/>
      </top>
      <bottom style="medium">
        <color indexed="64"/>
      </bottom>
      <diagonal/>
    </border>
    <border>
      <left/>
      <right/>
      <top style="double">
        <color indexed="48"/>
      </top>
      <bottom style="medium">
        <color indexed="64"/>
      </bottom>
      <diagonal/>
    </border>
    <border>
      <left style="double">
        <color indexed="64"/>
      </left>
      <right/>
      <top style="thin">
        <color indexed="64"/>
      </top>
      <bottom style="thick">
        <color indexed="64"/>
      </bottom>
      <diagonal/>
    </border>
    <border>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right style="medium">
        <color indexed="64"/>
      </right>
      <top style="thin">
        <color indexed="64"/>
      </top>
      <bottom style="thick">
        <color indexed="64"/>
      </bottom>
      <diagonal/>
    </border>
    <border>
      <left style="medium">
        <color indexed="64"/>
      </left>
      <right/>
      <top style="thick">
        <color indexed="64"/>
      </top>
      <bottom style="medium">
        <color indexed="64"/>
      </bottom>
      <diagonal/>
    </border>
    <border>
      <left style="double">
        <color indexed="64"/>
      </left>
      <right/>
      <top style="thin">
        <color indexed="64"/>
      </top>
      <bottom style="thin">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double">
        <color indexed="64"/>
      </left>
      <right/>
      <top style="double">
        <color indexed="64"/>
      </top>
      <bottom style="thin">
        <color indexed="64"/>
      </bottom>
      <diagonal/>
    </border>
    <border>
      <left style="medium">
        <color indexed="64"/>
      </left>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left/>
      <right style="medium">
        <color indexed="64"/>
      </right>
      <top style="double">
        <color indexed="64"/>
      </top>
      <bottom style="thin">
        <color indexed="64"/>
      </bottom>
      <diagonal/>
    </border>
    <border>
      <left style="double">
        <color indexed="64"/>
      </left>
      <right/>
      <top style="thin">
        <color indexed="64"/>
      </top>
      <bottom style="double">
        <color indexed="64"/>
      </bottom>
      <diagonal/>
    </border>
    <border>
      <left style="thin">
        <color indexed="64"/>
      </left>
      <right/>
      <top/>
      <bottom style="thin">
        <color indexed="64"/>
      </bottom>
      <diagonal/>
    </border>
    <border>
      <left/>
      <right style="medium">
        <color indexed="64"/>
      </right>
      <top/>
      <bottom style="thin">
        <color indexed="64"/>
      </bottom>
      <diagonal/>
    </border>
    <border>
      <left style="thin">
        <color theme="3" tint="0.39994506668294322"/>
      </left>
      <right style="thin">
        <color theme="3" tint="0.39994506668294322"/>
      </right>
      <top style="thin">
        <color theme="3" tint="0.39994506668294322"/>
      </top>
      <bottom style="thin">
        <color theme="3" tint="0.39994506668294322"/>
      </bottom>
      <diagonal/>
    </border>
    <border>
      <left style="thin">
        <color theme="3" tint="0.39994506668294322"/>
      </left>
      <right style="thin">
        <color theme="3" tint="0.39994506668294322"/>
      </right>
      <top style="thin">
        <color theme="3" tint="0.39994506668294322"/>
      </top>
      <bottom/>
      <diagonal/>
    </border>
    <border>
      <left/>
      <right/>
      <top style="thin">
        <color theme="3" tint="0.39994506668294322"/>
      </top>
      <bottom/>
      <diagonal/>
    </border>
    <border>
      <left style="double">
        <color rgb="FF0070C0"/>
      </left>
      <right/>
      <top/>
      <bottom/>
      <diagonal/>
    </border>
    <border>
      <left/>
      <right style="double">
        <color rgb="FF0070C0"/>
      </right>
      <top/>
      <bottom/>
      <diagonal/>
    </border>
    <border>
      <left style="double">
        <color rgb="FF0070C0"/>
      </left>
      <right/>
      <top/>
      <bottom style="double">
        <color rgb="FF0070C0"/>
      </bottom>
      <diagonal/>
    </border>
    <border>
      <left/>
      <right/>
      <top/>
      <bottom style="double">
        <color rgb="FF0070C0"/>
      </bottom>
      <diagonal/>
    </border>
    <border>
      <left/>
      <right style="double">
        <color rgb="FF0070C0"/>
      </right>
      <top/>
      <bottom style="double">
        <color rgb="FF0070C0"/>
      </bottom>
      <diagonal/>
    </border>
    <border>
      <left style="thin">
        <color rgb="FF0070C0"/>
      </left>
      <right/>
      <top style="thin">
        <color rgb="FF0070C0"/>
      </top>
      <bottom style="thin">
        <color rgb="FF0070C0"/>
      </bottom>
      <diagonal/>
    </border>
    <border>
      <left/>
      <right/>
      <top style="thin">
        <color rgb="FF0070C0"/>
      </top>
      <bottom style="thin">
        <color rgb="FF0070C0"/>
      </bottom>
      <diagonal/>
    </border>
    <border>
      <left/>
      <right style="thin">
        <color rgb="FF0070C0"/>
      </right>
      <top style="thin">
        <color rgb="FF0070C0"/>
      </top>
      <bottom style="thin">
        <color rgb="FF0070C0"/>
      </bottom>
      <diagonal/>
    </border>
    <border>
      <left style="thin">
        <color theme="3" tint="0.39994506668294322"/>
      </left>
      <right style="thin">
        <color theme="3" tint="0.39994506668294322"/>
      </right>
      <top/>
      <bottom/>
      <diagonal/>
    </border>
    <border>
      <left style="double">
        <color theme="3" tint="0.39994506668294322"/>
      </left>
      <right style="thin">
        <color indexed="64"/>
      </right>
      <top/>
      <bottom/>
      <diagonal/>
    </border>
    <border>
      <left style="thin">
        <color indexed="64"/>
      </left>
      <right style="double">
        <color theme="3" tint="0.39994506668294322"/>
      </right>
      <top/>
      <bottom/>
      <diagonal/>
    </border>
    <border>
      <left style="thin">
        <color indexed="64"/>
      </left>
      <right style="double">
        <color theme="3" tint="0.39994506668294322"/>
      </right>
      <top/>
      <bottom style="thin">
        <color indexed="64"/>
      </bottom>
      <diagonal/>
    </border>
    <border>
      <left style="double">
        <color theme="3" tint="0.39994506668294322"/>
      </left>
      <right style="thin">
        <color indexed="64"/>
      </right>
      <top style="thin">
        <color indexed="64"/>
      </top>
      <bottom/>
      <diagonal/>
    </border>
    <border>
      <left style="double">
        <color theme="3" tint="0.39994506668294322"/>
      </left>
      <right style="thin">
        <color indexed="64"/>
      </right>
      <top/>
      <bottom style="double">
        <color theme="3" tint="0.39994506668294322"/>
      </bottom>
      <diagonal/>
    </border>
    <border>
      <left style="thin">
        <color indexed="64"/>
      </left>
      <right style="thin">
        <color indexed="64"/>
      </right>
      <top/>
      <bottom style="double">
        <color theme="3" tint="0.39994506668294322"/>
      </bottom>
      <diagonal/>
    </border>
    <border>
      <left/>
      <right/>
      <top/>
      <bottom style="double">
        <color theme="3" tint="0.39994506668294322"/>
      </bottom>
      <diagonal/>
    </border>
    <border>
      <left style="thin">
        <color indexed="64"/>
      </left>
      <right style="double">
        <color theme="3" tint="0.39994506668294322"/>
      </right>
      <top/>
      <bottom style="double">
        <color theme="3" tint="0.39994506668294322"/>
      </bottom>
      <diagonal/>
    </border>
    <border>
      <left style="double">
        <color theme="3" tint="0.39994506668294322"/>
      </left>
      <right/>
      <top/>
      <bottom/>
      <diagonal/>
    </border>
    <border>
      <left/>
      <right style="double">
        <color theme="3" tint="0.39994506668294322"/>
      </right>
      <top/>
      <bottom/>
      <diagonal/>
    </border>
    <border>
      <left style="double">
        <color theme="3" tint="0.39994506668294322"/>
      </left>
      <right/>
      <top/>
      <bottom style="double">
        <color theme="3" tint="0.39994506668294322"/>
      </bottom>
      <diagonal/>
    </border>
    <border>
      <left/>
      <right style="double">
        <color theme="3" tint="0.39994506668294322"/>
      </right>
      <top/>
      <bottom style="double">
        <color theme="3" tint="0.39994506668294322"/>
      </bottom>
      <diagonal/>
    </border>
    <border>
      <left style="thin">
        <color theme="4" tint="-0.24994659260841701"/>
      </left>
      <right style="thin">
        <color theme="4" tint="-0.24994659260841701"/>
      </right>
      <top style="thin">
        <color theme="4" tint="-0.24994659260841701"/>
      </top>
      <bottom style="thin">
        <color theme="4" tint="-0.24994659260841701"/>
      </bottom>
      <diagonal/>
    </border>
    <border>
      <left style="thin">
        <color rgb="FF0070C0"/>
      </left>
      <right style="thin">
        <color rgb="FF0070C0"/>
      </right>
      <top/>
      <bottom style="thin">
        <color rgb="FF0070C0"/>
      </bottom>
      <diagonal/>
    </border>
    <border>
      <left style="thin">
        <color theme="3" tint="0.39994506668294322"/>
      </left>
      <right/>
      <top style="thin">
        <color theme="3" tint="0.39994506668294322"/>
      </top>
      <bottom style="thin">
        <color theme="3" tint="0.39994506668294322"/>
      </bottom>
      <diagonal/>
    </border>
    <border>
      <left/>
      <right style="thin">
        <color indexed="64"/>
      </right>
      <top/>
      <bottom style="double">
        <color theme="3" tint="0.39994506668294322"/>
      </bottom>
      <diagonal/>
    </border>
    <border>
      <left style="thin">
        <color indexed="64"/>
      </left>
      <right style="thin">
        <color indexed="64"/>
      </right>
      <top style="double">
        <color theme="3" tint="0.39994506668294322"/>
      </top>
      <bottom/>
      <diagonal/>
    </border>
    <border>
      <left style="thin">
        <color indexed="64"/>
      </left>
      <right/>
      <top style="double">
        <color theme="3" tint="0.39994506668294322"/>
      </top>
      <bottom/>
      <diagonal/>
    </border>
    <border>
      <left/>
      <right/>
      <top style="double">
        <color theme="3" tint="0.39994506668294322"/>
      </top>
      <bottom/>
      <diagonal/>
    </border>
    <border>
      <left/>
      <right style="double">
        <color theme="3" tint="0.39994506668294322"/>
      </right>
      <top style="double">
        <color theme="3" tint="0.39994506668294322"/>
      </top>
      <bottom/>
      <diagonal/>
    </border>
    <border>
      <left/>
      <right style="double">
        <color theme="3" tint="0.39994506668294322"/>
      </right>
      <top/>
      <bottom style="mediumDashed">
        <color indexed="64"/>
      </bottom>
      <diagonal/>
    </border>
    <border>
      <left style="double">
        <color rgb="FF0070C0"/>
      </left>
      <right/>
      <top style="double">
        <color rgb="FF0070C0"/>
      </top>
      <bottom/>
      <diagonal/>
    </border>
    <border>
      <left/>
      <right/>
      <top style="double">
        <color rgb="FF0070C0"/>
      </top>
      <bottom/>
      <diagonal/>
    </border>
    <border>
      <left/>
      <right style="double">
        <color rgb="FF0070C0"/>
      </right>
      <top style="double">
        <color rgb="FF0070C0"/>
      </top>
      <bottom/>
      <diagonal/>
    </border>
    <border>
      <left/>
      <right/>
      <top style="thin">
        <color theme="3" tint="0.39994506668294322"/>
      </top>
      <bottom style="thin">
        <color theme="3" tint="0.39994506668294322"/>
      </bottom>
      <diagonal/>
    </border>
    <border>
      <left/>
      <right style="thin">
        <color theme="3" tint="0.39994506668294322"/>
      </right>
      <top style="thin">
        <color theme="3" tint="0.39994506668294322"/>
      </top>
      <bottom style="thin">
        <color theme="3" tint="0.39994506668294322"/>
      </bottom>
      <diagonal/>
    </border>
    <border>
      <left style="thin">
        <color theme="3" tint="0.39994506668294322"/>
      </left>
      <right/>
      <top style="thin">
        <color theme="3" tint="0.39994506668294322"/>
      </top>
      <bottom/>
      <diagonal/>
    </border>
    <border>
      <left/>
      <right style="thin">
        <color theme="3" tint="0.39994506668294322"/>
      </right>
      <top style="thin">
        <color theme="3" tint="0.39994506668294322"/>
      </top>
      <bottom/>
      <diagonal/>
    </border>
    <border>
      <left style="double">
        <color theme="3" tint="0.39994506668294322"/>
      </left>
      <right/>
      <top style="double">
        <color theme="3" tint="0.39994506668294322"/>
      </top>
      <bottom/>
      <diagonal/>
    </border>
    <border>
      <left/>
      <right style="double">
        <color theme="3" tint="0.39991454817346722"/>
      </right>
      <top style="double">
        <color theme="3" tint="0.39994506668294322"/>
      </top>
      <bottom/>
      <diagonal/>
    </border>
    <border>
      <left/>
      <right style="double">
        <color theme="3" tint="0.39991454817346722"/>
      </right>
      <top/>
      <bottom/>
      <diagonal/>
    </border>
    <border>
      <left style="thin">
        <color indexed="64"/>
      </left>
      <right style="double">
        <color theme="3" tint="0.39994506668294322"/>
      </right>
      <top style="thin">
        <color indexed="64"/>
      </top>
      <bottom/>
      <diagonal/>
    </border>
    <border>
      <left/>
      <right style="thin">
        <color indexed="64"/>
      </right>
      <top style="double">
        <color theme="3" tint="0.39994506668294322"/>
      </top>
      <bottom/>
      <diagonal/>
    </border>
    <border>
      <left style="thin">
        <color theme="4" tint="-0.24994659260841701"/>
      </left>
      <right/>
      <top style="thin">
        <color theme="4" tint="-0.24994659260841701"/>
      </top>
      <bottom style="thin">
        <color theme="4" tint="-0.24994659260841701"/>
      </bottom>
      <diagonal/>
    </border>
    <border>
      <left/>
      <right style="thin">
        <color theme="4" tint="-0.24994659260841701"/>
      </right>
      <top style="thin">
        <color theme="4" tint="-0.24994659260841701"/>
      </top>
      <bottom style="thin">
        <color theme="4" tint="-0.24994659260841701"/>
      </bottom>
      <diagonal/>
    </border>
    <border>
      <left style="medium">
        <color theme="3" tint="0.39994506668294322"/>
      </left>
      <right/>
      <top style="medium">
        <color theme="3" tint="0.39994506668294322"/>
      </top>
      <bottom style="medium">
        <color theme="3" tint="0.39994506668294322"/>
      </bottom>
      <diagonal/>
    </border>
    <border>
      <left/>
      <right/>
      <top style="medium">
        <color theme="3" tint="0.39994506668294322"/>
      </top>
      <bottom style="medium">
        <color theme="3" tint="0.39994506668294322"/>
      </bottom>
      <diagonal/>
    </border>
    <border>
      <left/>
      <right style="medium">
        <color theme="3" tint="0.39994506668294322"/>
      </right>
      <top style="medium">
        <color theme="3" tint="0.39994506668294322"/>
      </top>
      <bottom style="medium">
        <color theme="3" tint="0.39994506668294322"/>
      </bottom>
      <diagonal/>
    </border>
    <border>
      <left/>
      <right style="double">
        <color theme="3" tint="0.39991454817346722"/>
      </right>
      <top/>
      <bottom style="double">
        <color theme="3" tint="0.39994506668294322"/>
      </bottom>
      <diagonal/>
    </border>
    <border>
      <left style="thin">
        <color rgb="FF0070C0"/>
      </left>
      <right/>
      <top/>
      <bottom style="thin">
        <color rgb="FF0070C0"/>
      </bottom>
      <diagonal/>
    </border>
    <border>
      <left/>
      <right style="thin">
        <color rgb="FF0070C0"/>
      </right>
      <top/>
      <bottom style="thin">
        <color rgb="FF0070C0"/>
      </bottom>
      <diagonal/>
    </border>
  </borders>
  <cellStyleXfs count="7">
    <xf numFmtId="0" fontId="0" fillId="0" borderId="0"/>
    <xf numFmtId="43" fontId="1" fillId="0" borderId="0" applyFont="0" applyFill="0" applyBorder="0" applyAlignment="0" applyProtection="0"/>
    <xf numFmtId="43" fontId="11" fillId="0" borderId="0" applyFont="0" applyFill="0" applyBorder="0" applyAlignment="0" applyProtection="0"/>
    <xf numFmtId="44" fontId="1" fillId="0" borderId="0" applyFont="0" applyFill="0" applyBorder="0" applyAlignment="0" applyProtection="0"/>
    <xf numFmtId="0" fontId="2" fillId="0" borderId="0" applyNumberFormat="0" applyFill="0" applyBorder="0" applyAlignment="0" applyProtection="0">
      <alignment vertical="top"/>
      <protection locked="0"/>
    </xf>
    <xf numFmtId="0" fontId="11" fillId="0" borderId="0"/>
    <xf numFmtId="0" fontId="93" fillId="0" borderId="0"/>
  </cellStyleXfs>
  <cellXfs count="926">
    <xf numFmtId="0" fontId="0" fillId="0" borderId="0" xfId="0"/>
    <xf numFmtId="0" fontId="5" fillId="0" borderId="0" xfId="0" applyFont="1"/>
    <xf numFmtId="0" fontId="5" fillId="2" borderId="0" xfId="0" applyFont="1" applyFill="1" applyBorder="1"/>
    <xf numFmtId="0" fontId="5" fillId="0" borderId="0" xfId="0" applyFont="1" applyFill="1"/>
    <xf numFmtId="0" fontId="9" fillId="0" borderId="0" xfId="0" applyFont="1" applyFill="1"/>
    <xf numFmtId="0" fontId="5" fillId="0" borderId="0" xfId="0" applyFont="1" applyFill="1" applyBorder="1" applyProtection="1"/>
    <xf numFmtId="0" fontId="11" fillId="2" borderId="0" xfId="0" applyFont="1" applyFill="1" applyBorder="1" applyAlignment="1"/>
    <xf numFmtId="0" fontId="5" fillId="0" borderId="0" xfId="0" applyFont="1" applyProtection="1"/>
    <xf numFmtId="0" fontId="6" fillId="0" borderId="0" xfId="0" applyFont="1" applyProtection="1"/>
    <xf numFmtId="0" fontId="5" fillId="0" borderId="0" xfId="0" applyFont="1" applyFill="1" applyProtection="1"/>
    <xf numFmtId="0" fontId="8" fillId="0" borderId="0" xfId="4" applyFont="1" applyAlignment="1" applyProtection="1"/>
    <xf numFmtId="0" fontId="5" fillId="3" borderId="0" xfId="0" applyFont="1" applyFill="1" applyProtection="1"/>
    <xf numFmtId="0" fontId="16" fillId="0" borderId="0" xfId="0" applyFont="1" applyProtection="1">
      <protection hidden="1"/>
    </xf>
    <xf numFmtId="0" fontId="0" fillId="0" borderId="0" xfId="0" applyProtection="1">
      <protection hidden="1"/>
    </xf>
    <xf numFmtId="0" fontId="0" fillId="0" borderId="0" xfId="0" quotePrefix="1" applyProtection="1">
      <protection hidden="1"/>
    </xf>
    <xf numFmtId="0" fontId="0" fillId="0" borderId="0" xfId="0" applyAlignment="1" applyProtection="1">
      <alignment horizontal="right"/>
      <protection hidden="1"/>
    </xf>
    <xf numFmtId="173" fontId="1" fillId="0" borderId="1" xfId="1" applyNumberFormat="1" applyBorder="1" applyProtection="1">
      <protection hidden="1"/>
    </xf>
    <xf numFmtId="0" fontId="0" fillId="0" borderId="1" xfId="0" applyBorder="1" applyProtection="1">
      <protection hidden="1"/>
    </xf>
    <xf numFmtId="166" fontId="0" fillId="0" borderId="0" xfId="0" applyNumberFormat="1" applyProtection="1">
      <protection hidden="1"/>
    </xf>
    <xf numFmtId="4" fontId="0" fillId="0" borderId="0" xfId="0" applyNumberFormat="1" applyProtection="1">
      <protection hidden="1"/>
    </xf>
    <xf numFmtId="0" fontId="5" fillId="3" borderId="0" xfId="0" applyFont="1" applyFill="1"/>
    <xf numFmtId="0" fontId="0" fillId="0" borderId="2" xfId="0" applyBorder="1" applyProtection="1">
      <protection hidden="1"/>
    </xf>
    <xf numFmtId="0" fontId="0" fillId="0" borderId="3" xfId="0" applyBorder="1" applyProtection="1">
      <protection hidden="1"/>
    </xf>
    <xf numFmtId="0" fontId="16" fillId="0" borderId="4" xfId="0" applyFont="1" applyBorder="1" applyProtection="1">
      <protection hidden="1"/>
    </xf>
    <xf numFmtId="0" fontId="0" fillId="0" borderId="5" xfId="0" applyBorder="1" applyProtection="1">
      <protection hidden="1"/>
    </xf>
    <xf numFmtId="164" fontId="0" fillId="0" borderId="0" xfId="0" applyNumberFormat="1" applyProtection="1">
      <protection hidden="1"/>
    </xf>
    <xf numFmtId="0" fontId="0" fillId="4" borderId="6" xfId="0" applyFill="1" applyBorder="1" applyProtection="1">
      <protection hidden="1"/>
    </xf>
    <xf numFmtId="0" fontId="0" fillId="4" borderId="0" xfId="0" quotePrefix="1" applyFill="1" applyProtection="1">
      <protection hidden="1"/>
    </xf>
    <xf numFmtId="0" fontId="0" fillId="4" borderId="0" xfId="0" applyFill="1" applyProtection="1">
      <protection hidden="1"/>
    </xf>
    <xf numFmtId="0" fontId="0" fillId="5" borderId="0" xfId="0" applyFill="1" applyProtection="1">
      <protection hidden="1"/>
    </xf>
    <xf numFmtId="0" fontId="0" fillId="6" borderId="0" xfId="0" applyFill="1" applyProtection="1">
      <protection hidden="1"/>
    </xf>
    <xf numFmtId="164" fontId="0" fillId="4" borderId="7" xfId="0" applyNumberFormat="1" applyFill="1" applyBorder="1" applyProtection="1">
      <protection hidden="1"/>
    </xf>
    <xf numFmtId="164" fontId="0" fillId="4" borderId="6" xfId="0" applyNumberFormat="1" applyFill="1" applyBorder="1" applyProtection="1">
      <protection hidden="1"/>
    </xf>
    <xf numFmtId="164" fontId="0" fillId="4" borderId="8" xfId="0" applyNumberFormat="1" applyFill="1" applyBorder="1" applyProtection="1">
      <protection hidden="1"/>
    </xf>
    <xf numFmtId="0" fontId="16" fillId="7" borderId="9" xfId="0" applyFont="1" applyFill="1" applyBorder="1" applyAlignment="1" applyProtection="1">
      <alignment horizontal="center"/>
      <protection hidden="1"/>
    </xf>
    <xf numFmtId="0" fontId="0" fillId="0" borderId="0" xfId="0" applyAlignment="1" applyProtection="1">
      <alignment horizontal="center"/>
      <protection hidden="1"/>
    </xf>
    <xf numFmtId="0" fontId="19" fillId="0" borderId="0" xfId="0" applyFont="1" applyProtection="1">
      <protection hidden="1"/>
    </xf>
    <xf numFmtId="171" fontId="0" fillId="0" borderId="0" xfId="0" applyNumberFormat="1" applyProtection="1">
      <protection hidden="1"/>
    </xf>
    <xf numFmtId="0" fontId="16" fillId="0" borderId="0" xfId="0" quotePrefix="1" applyFont="1" applyFill="1" applyBorder="1" applyAlignment="1" applyProtection="1">
      <alignment horizontal="center"/>
      <protection hidden="1"/>
    </xf>
    <xf numFmtId="0" fontId="0" fillId="8" borderId="9" xfId="0" applyFill="1" applyBorder="1" applyAlignment="1" applyProtection="1">
      <alignment horizontal="center"/>
      <protection hidden="1"/>
    </xf>
    <xf numFmtId="0" fontId="16" fillId="0" borderId="0" xfId="0" quotePrefix="1" applyFont="1" applyFill="1" applyBorder="1" applyAlignment="1" applyProtection="1">
      <alignment horizontal="center" vertical="center"/>
      <protection hidden="1"/>
    </xf>
    <xf numFmtId="0" fontId="16" fillId="9" borderId="9" xfId="0" applyFont="1" applyFill="1" applyBorder="1" applyAlignment="1" applyProtection="1">
      <alignment horizontal="center" vertical="center"/>
      <protection hidden="1"/>
    </xf>
    <xf numFmtId="0" fontId="16" fillId="4" borderId="9" xfId="0" applyFont="1" applyFill="1" applyBorder="1" applyAlignment="1" applyProtection="1">
      <alignment horizontal="center" vertical="center" shrinkToFit="1"/>
      <protection locked="0" hidden="1"/>
    </xf>
    <xf numFmtId="1" fontId="5" fillId="0" borderId="0" xfId="0" applyNumberFormat="1" applyFont="1" applyFill="1" applyBorder="1" applyProtection="1"/>
    <xf numFmtId="0" fontId="0" fillId="2" borderId="0" xfId="0" applyFill="1"/>
    <xf numFmtId="0" fontId="0" fillId="2" borderId="0" xfId="0" applyFill="1" applyAlignment="1">
      <alignment horizontal="center"/>
    </xf>
    <xf numFmtId="0" fontId="0" fillId="0" borderId="9" xfId="0" applyBorder="1" applyAlignment="1">
      <alignment horizontal="center"/>
    </xf>
    <xf numFmtId="0" fontId="16" fillId="0" borderId="10" xfId="0" applyFont="1" applyBorder="1" applyAlignment="1">
      <alignment horizontal="center"/>
    </xf>
    <xf numFmtId="170" fontId="0" fillId="0" borderId="0" xfId="0" applyNumberFormat="1" applyFill="1" applyBorder="1" applyAlignment="1">
      <alignment horizontal="center"/>
    </xf>
    <xf numFmtId="170" fontId="0" fillId="0" borderId="0" xfId="0" applyNumberFormat="1" applyAlignment="1">
      <alignment horizontal="center"/>
    </xf>
    <xf numFmtId="1" fontId="0" fillId="0" borderId="0" xfId="0" applyNumberFormat="1" applyBorder="1" applyAlignment="1">
      <alignment horizontal="center"/>
    </xf>
    <xf numFmtId="170" fontId="0" fillId="0" borderId="0" xfId="0" applyNumberFormat="1" applyBorder="1" applyAlignment="1">
      <alignment horizontal="center"/>
    </xf>
    <xf numFmtId="0" fontId="5" fillId="0" borderId="0" xfId="0" applyFont="1" applyFill="1" applyBorder="1" applyAlignment="1" applyProtection="1">
      <alignment horizontal="right"/>
    </xf>
    <xf numFmtId="0" fontId="23" fillId="0" borderId="0" xfId="0" applyFont="1"/>
    <xf numFmtId="0" fontId="0" fillId="0" borderId="10" xfId="0" applyBorder="1"/>
    <xf numFmtId="0" fontId="13" fillId="2" borderId="0" xfId="0" applyFont="1" applyFill="1"/>
    <xf numFmtId="0" fontId="0" fillId="3" borderId="11" xfId="0" applyFill="1" applyBorder="1" applyAlignment="1">
      <alignment horizontal="center"/>
    </xf>
    <xf numFmtId="0" fontId="0" fillId="0" borderId="11" xfId="0" applyBorder="1" applyAlignment="1">
      <alignment horizontal="center" vertical="center" wrapText="1"/>
    </xf>
    <xf numFmtId="0" fontId="0" fillId="0" borderId="12" xfId="0" applyBorder="1" applyAlignment="1">
      <alignment horizontal="center" vertical="center" wrapText="1"/>
    </xf>
    <xf numFmtId="0" fontId="0" fillId="0" borderId="13" xfId="0" applyBorder="1" applyAlignment="1">
      <alignment horizontal="center" vertical="center" wrapText="1"/>
    </xf>
    <xf numFmtId="0" fontId="13" fillId="2" borderId="0" xfId="0" applyFont="1" applyFill="1" applyBorder="1"/>
    <xf numFmtId="0" fontId="13" fillId="2" borderId="0" xfId="0" applyFont="1" applyFill="1" applyBorder="1" applyAlignment="1"/>
    <xf numFmtId="0" fontId="13" fillId="0" borderId="0" xfId="0" applyFont="1"/>
    <xf numFmtId="0" fontId="13" fillId="2" borderId="0" xfId="0" applyFont="1" applyFill="1" applyAlignment="1">
      <alignment horizontal="center"/>
    </xf>
    <xf numFmtId="0" fontId="11" fillId="0" borderId="0" xfId="0" applyFont="1" applyProtection="1"/>
    <xf numFmtId="0" fontId="29" fillId="2" borderId="0" xfId="0" applyFont="1" applyFill="1" applyBorder="1"/>
    <xf numFmtId="0" fontId="5" fillId="2" borderId="0" xfId="0" applyFont="1" applyFill="1"/>
    <xf numFmtId="0" fontId="11" fillId="2" borderId="0" xfId="0" applyFont="1" applyFill="1" applyBorder="1"/>
    <xf numFmtId="0" fontId="16" fillId="0" borderId="14" xfId="0" applyFont="1" applyBorder="1" applyAlignment="1" applyProtection="1">
      <alignment horizontal="center" vertical="center"/>
    </xf>
    <xf numFmtId="0" fontId="16" fillId="0" borderId="14" xfId="0" applyFont="1" applyBorder="1" applyAlignment="1" applyProtection="1">
      <alignment horizontal="center" vertical="center" wrapText="1"/>
    </xf>
    <xf numFmtId="0" fontId="11" fillId="3" borderId="0" xfId="0" applyFont="1" applyFill="1" applyProtection="1"/>
    <xf numFmtId="0" fontId="11" fillId="0" borderId="0" xfId="0" applyFont="1" applyBorder="1" applyProtection="1"/>
    <xf numFmtId="0" fontId="11" fillId="0" borderId="0" xfId="0" applyFont="1" applyFill="1" applyBorder="1" applyProtection="1">
      <protection locked="0"/>
    </xf>
    <xf numFmtId="0" fontId="11" fillId="0" borderId="0" xfId="0" applyFont="1" applyFill="1" applyBorder="1" applyProtection="1"/>
    <xf numFmtId="1" fontId="11" fillId="0" borderId="0" xfId="0" applyNumberFormat="1" applyFont="1" applyFill="1" applyBorder="1" applyProtection="1"/>
    <xf numFmtId="10" fontId="11" fillId="0" borderId="0" xfId="0" applyNumberFormat="1" applyFont="1" applyFill="1" applyBorder="1" applyProtection="1"/>
    <xf numFmtId="0" fontId="0" fillId="13" borderId="0" xfId="0" applyFill="1"/>
    <xf numFmtId="0" fontId="50" fillId="13" borderId="0" xfId="0" applyFont="1" applyFill="1" applyProtection="1"/>
    <xf numFmtId="0" fontId="16" fillId="13" borderId="15" xfId="0" applyFont="1" applyFill="1" applyBorder="1" applyAlignment="1">
      <alignment horizontal="center" vertical="center"/>
    </xf>
    <xf numFmtId="0" fontId="11" fillId="13" borderId="0" xfId="0" applyFont="1" applyFill="1"/>
    <xf numFmtId="0" fontId="48" fillId="13" borderId="0" xfId="0" applyFont="1" applyFill="1" applyBorder="1" applyProtection="1"/>
    <xf numFmtId="1" fontId="48" fillId="13" borderId="0" xfId="0" applyNumberFormat="1" applyFont="1" applyFill="1" applyBorder="1" applyProtection="1"/>
    <xf numFmtId="0" fontId="50" fillId="13" borderId="0" xfId="0" applyFont="1" applyFill="1" applyBorder="1" applyProtection="1"/>
    <xf numFmtId="0" fontId="48" fillId="13" borderId="0" xfId="0" applyFont="1" applyFill="1" applyBorder="1" applyAlignment="1" applyProtection="1">
      <alignment horizontal="right" vertical="center"/>
    </xf>
    <xf numFmtId="1" fontId="48" fillId="13" borderId="0" xfId="0" applyNumberFormat="1" applyFont="1" applyFill="1" applyBorder="1" applyAlignment="1" applyProtection="1">
      <alignment horizontal="right" vertical="center"/>
    </xf>
    <xf numFmtId="0" fontId="48" fillId="13" borderId="0" xfId="0" applyFont="1" applyFill="1" applyBorder="1" applyAlignment="1" applyProtection="1">
      <alignment vertical="center"/>
    </xf>
    <xf numFmtId="0" fontId="50" fillId="13" borderId="0" xfId="0" applyFont="1" applyFill="1" applyBorder="1" applyAlignment="1" applyProtection="1">
      <alignment vertical="center"/>
    </xf>
    <xf numFmtId="0" fontId="50" fillId="13" borderId="0" xfId="0" quotePrefix="1" applyFont="1" applyFill="1" applyBorder="1" applyAlignment="1" applyProtection="1">
      <alignment vertical="center"/>
    </xf>
    <xf numFmtId="0" fontId="48" fillId="13" borderId="0" xfId="0" applyFont="1" applyFill="1" applyBorder="1" applyAlignment="1" applyProtection="1">
      <alignment horizontal="center" vertical="center"/>
    </xf>
    <xf numFmtId="1" fontId="48" fillId="13" borderId="0" xfId="0" applyNumberFormat="1" applyFont="1" applyFill="1" applyBorder="1" applyAlignment="1" applyProtection="1">
      <alignment horizontal="center" vertical="center"/>
    </xf>
    <xf numFmtId="0" fontId="50" fillId="13" borderId="0" xfId="0" applyFont="1" applyFill="1" applyBorder="1" applyAlignment="1" applyProtection="1">
      <alignment horizontal="center"/>
    </xf>
    <xf numFmtId="0" fontId="50" fillId="13" borderId="0" xfId="0" quotePrefix="1" applyFont="1" applyFill="1" applyBorder="1" applyAlignment="1" applyProtection="1">
      <alignment horizontal="center"/>
    </xf>
    <xf numFmtId="0" fontId="52" fillId="13" borderId="16" xfId="0" applyFont="1" applyFill="1" applyBorder="1" applyAlignment="1">
      <alignment vertical="center"/>
    </xf>
    <xf numFmtId="2" fontId="51" fillId="13" borderId="0" xfId="0" applyNumberFormat="1" applyFont="1" applyFill="1" applyBorder="1" applyAlignment="1" applyProtection="1">
      <alignment horizontal="left"/>
    </xf>
    <xf numFmtId="1" fontId="50" fillId="13" borderId="0" xfId="0" applyNumberFormat="1" applyFont="1" applyFill="1" applyBorder="1" applyProtection="1"/>
    <xf numFmtId="0" fontId="16" fillId="13" borderId="0" xfId="0" applyFont="1" applyFill="1"/>
    <xf numFmtId="0" fontId="0" fillId="0" borderId="0" xfId="0" applyFill="1"/>
    <xf numFmtId="0" fontId="50" fillId="0" borderId="0" xfId="0" applyFont="1" applyFill="1" applyProtection="1"/>
    <xf numFmtId="0" fontId="16" fillId="0" borderId="0" xfId="0" applyFont="1" applyFill="1"/>
    <xf numFmtId="0" fontId="11" fillId="0" borderId="0" xfId="0" applyFont="1" applyFill="1"/>
    <xf numFmtId="0" fontId="11" fillId="14" borderId="0" xfId="0" applyFont="1" applyFill="1" applyProtection="1"/>
    <xf numFmtId="0" fontId="11" fillId="14" borderId="9" xfId="0" applyFont="1" applyFill="1" applyBorder="1" applyProtection="1"/>
    <xf numFmtId="0" fontId="50" fillId="0" borderId="0" xfId="0" applyFont="1" applyFill="1" applyAlignment="1" applyProtection="1">
      <alignment vertical="center"/>
    </xf>
    <xf numFmtId="0" fontId="50" fillId="0" borderId="0" xfId="0" applyFont="1" applyFill="1" applyAlignment="1" applyProtection="1">
      <alignment horizontal="center"/>
    </xf>
    <xf numFmtId="0" fontId="50" fillId="0" borderId="0" xfId="0" applyFont="1" applyFill="1" applyBorder="1" applyProtection="1"/>
    <xf numFmtId="0" fontId="48" fillId="13" borderId="0" xfId="0" applyFont="1" applyFill="1" applyBorder="1" applyAlignment="1">
      <alignment vertical="center"/>
    </xf>
    <xf numFmtId="0" fontId="59" fillId="15" borderId="0" xfId="0" applyFont="1" applyFill="1" applyProtection="1"/>
    <xf numFmtId="0" fontId="59" fillId="0" borderId="0" xfId="0" applyFont="1" applyFill="1" applyProtection="1"/>
    <xf numFmtId="0" fontId="60" fillId="13" borderId="0" xfId="0" applyFont="1" applyFill="1" applyBorder="1" applyProtection="1"/>
    <xf numFmtId="1" fontId="60" fillId="13" borderId="0" xfId="0" applyNumberFormat="1" applyFont="1" applyFill="1" applyBorder="1" applyProtection="1"/>
    <xf numFmtId="0" fontId="59" fillId="13" borderId="0" xfId="0" applyFont="1" applyFill="1" applyBorder="1" applyProtection="1"/>
    <xf numFmtId="0" fontId="61" fillId="13" borderId="0" xfId="0" applyFont="1" applyFill="1" applyBorder="1" applyAlignment="1" applyProtection="1">
      <alignment horizontal="right"/>
    </xf>
    <xf numFmtId="2" fontId="60" fillId="13" borderId="0" xfId="0" applyNumberFormat="1" applyFont="1" applyFill="1" applyBorder="1" applyAlignment="1" applyProtection="1">
      <alignment horizontal="left"/>
    </xf>
    <xf numFmtId="0" fontId="62" fillId="13" borderId="0" xfId="0" applyFont="1" applyFill="1" applyBorder="1" applyProtection="1"/>
    <xf numFmtId="0" fontId="59" fillId="13" borderId="0" xfId="0" applyFont="1" applyFill="1" applyBorder="1" applyAlignment="1" applyProtection="1">
      <alignment horizontal="right"/>
    </xf>
    <xf numFmtId="0" fontId="59" fillId="13" borderId="0" xfId="0" applyFont="1" applyFill="1" applyBorder="1" applyProtection="1">
      <protection hidden="1"/>
    </xf>
    <xf numFmtId="167" fontId="59" fillId="15" borderId="0" xfId="0" applyNumberFormat="1" applyFont="1" applyFill="1" applyProtection="1"/>
    <xf numFmtId="0" fontId="60" fillId="13" borderId="0" xfId="0" applyFont="1" applyFill="1" applyBorder="1" applyAlignment="1" applyProtection="1">
      <alignment horizontal="left"/>
    </xf>
    <xf numFmtId="1" fontId="60" fillId="13" borderId="0" xfId="0" applyNumberFormat="1" applyFont="1" applyFill="1" applyBorder="1" applyAlignment="1" applyProtection="1">
      <alignment horizontal="left"/>
    </xf>
    <xf numFmtId="4" fontId="59" fillId="13" borderId="0" xfId="0" applyNumberFormat="1" applyFont="1" applyFill="1" applyBorder="1" applyProtection="1"/>
    <xf numFmtId="0" fontId="59" fillId="13" borderId="0" xfId="0" applyFont="1" applyFill="1" applyBorder="1" applyAlignment="1" applyProtection="1">
      <alignment wrapText="1"/>
    </xf>
    <xf numFmtId="3" fontId="59" fillId="13" borderId="0" xfId="0" applyNumberFormat="1" applyFont="1" applyFill="1" applyBorder="1" applyProtection="1"/>
    <xf numFmtId="4" fontId="59" fillId="13" borderId="0" xfId="0" applyNumberFormat="1" applyFont="1" applyFill="1" applyBorder="1" applyAlignment="1" applyProtection="1">
      <alignment vertical="center"/>
      <protection hidden="1"/>
    </xf>
    <xf numFmtId="4" fontId="59" fillId="13" borderId="0" xfId="0" applyNumberFormat="1" applyFont="1" applyFill="1" applyBorder="1" applyAlignment="1" applyProtection="1">
      <alignment horizontal="right" vertical="center"/>
      <protection hidden="1"/>
    </xf>
    <xf numFmtId="4" fontId="63" fillId="13" borderId="0" xfId="0" applyNumberFormat="1" applyFont="1" applyFill="1" applyBorder="1" applyAlignment="1" applyProtection="1">
      <alignment vertical="center"/>
      <protection hidden="1"/>
    </xf>
    <xf numFmtId="0" fontId="59" fillId="13" borderId="17" xfId="0" applyFont="1" applyFill="1" applyBorder="1" applyProtection="1"/>
    <xf numFmtId="0" fontId="59" fillId="13" borderId="0" xfId="0" quotePrefix="1" applyFont="1" applyFill="1" applyBorder="1" applyProtection="1"/>
    <xf numFmtId="1" fontId="59" fillId="13" borderId="0" xfId="0" applyNumberFormat="1" applyFont="1" applyFill="1" applyBorder="1" applyProtection="1"/>
    <xf numFmtId="0" fontId="59" fillId="15" borderId="0" xfId="0" applyFont="1" applyFill="1" applyBorder="1" applyProtection="1"/>
    <xf numFmtId="0" fontId="59" fillId="0" borderId="0" xfId="0" applyFont="1" applyFill="1" applyBorder="1" applyProtection="1"/>
    <xf numFmtId="1" fontId="59" fillId="15" borderId="0" xfId="0" applyNumberFormat="1" applyFont="1" applyFill="1" applyBorder="1" applyProtection="1"/>
    <xf numFmtId="0" fontId="53" fillId="0" borderId="0" xfId="0" applyFont="1" applyFill="1" applyBorder="1" applyAlignment="1" applyProtection="1">
      <alignment horizontal="center"/>
    </xf>
    <xf numFmtId="43" fontId="11" fillId="0" borderId="0" xfId="1" applyFont="1" applyProtection="1"/>
    <xf numFmtId="168" fontId="11" fillId="0" borderId="0" xfId="0" applyNumberFormat="1" applyFont="1" applyProtection="1"/>
    <xf numFmtId="0" fontId="16" fillId="15" borderId="0" xfId="0" applyFont="1" applyFill="1" applyProtection="1"/>
    <xf numFmtId="43" fontId="1" fillId="0" borderId="0" xfId="0" applyNumberFormat="1" applyFont="1" applyBorder="1" applyAlignment="1">
      <alignment horizontal="center"/>
    </xf>
    <xf numFmtId="1" fontId="0" fillId="0" borderId="18" xfId="0" applyNumberFormat="1" applyBorder="1" applyAlignment="1">
      <alignment horizontal="center"/>
    </xf>
    <xf numFmtId="43" fontId="1" fillId="0" borderId="18" xfId="0" applyNumberFormat="1" applyFont="1" applyBorder="1" applyAlignment="1">
      <alignment horizontal="center"/>
    </xf>
    <xf numFmtId="170" fontId="0" fillId="0" borderId="18" xfId="0" applyNumberFormat="1" applyBorder="1" applyAlignment="1">
      <alignment horizontal="center"/>
    </xf>
    <xf numFmtId="170" fontId="0" fillId="0" borderId="18" xfId="0" applyNumberFormat="1" applyFill="1" applyBorder="1" applyAlignment="1">
      <alignment horizontal="center"/>
    </xf>
    <xf numFmtId="0" fontId="0" fillId="0" borderId="18" xfId="0" applyBorder="1"/>
    <xf numFmtId="0" fontId="5" fillId="16" borderId="0" xfId="0" applyFont="1" applyFill="1" applyBorder="1" applyAlignment="1" applyProtection="1">
      <alignment horizontal="right"/>
    </xf>
    <xf numFmtId="1" fontId="0" fillId="16" borderId="0" xfId="0" applyNumberFormat="1" applyFill="1" applyBorder="1" applyAlignment="1">
      <alignment horizontal="center"/>
    </xf>
    <xf numFmtId="0" fontId="1" fillId="16" borderId="0" xfId="0" applyFont="1" applyFill="1" applyBorder="1" applyAlignment="1">
      <alignment horizontal="center"/>
    </xf>
    <xf numFmtId="170" fontId="0" fillId="16" borderId="0" xfId="0" applyNumberFormat="1" applyFill="1" applyBorder="1" applyAlignment="1">
      <alignment horizontal="center"/>
    </xf>
    <xf numFmtId="170" fontId="0" fillId="16" borderId="0" xfId="0" applyNumberFormat="1" applyFill="1" applyAlignment="1">
      <alignment horizontal="center"/>
    </xf>
    <xf numFmtId="0" fontId="0" fillId="16" borderId="0" xfId="0" applyFill="1"/>
    <xf numFmtId="0" fontId="5" fillId="17" borderId="0" xfId="0" applyFont="1" applyFill="1" applyBorder="1" applyAlignment="1" applyProtection="1">
      <alignment horizontal="right"/>
    </xf>
    <xf numFmtId="1" fontId="0" fillId="17" borderId="0" xfId="0" applyNumberFormat="1" applyFill="1" applyBorder="1" applyAlignment="1">
      <alignment horizontal="center"/>
    </xf>
    <xf numFmtId="0" fontId="1" fillId="17" borderId="0" xfId="0" applyFont="1" applyFill="1" applyBorder="1" applyAlignment="1">
      <alignment horizontal="center"/>
    </xf>
    <xf numFmtId="170" fontId="0" fillId="17" borderId="0" xfId="0" applyNumberFormat="1" applyFill="1" applyBorder="1" applyAlignment="1">
      <alignment horizontal="center"/>
    </xf>
    <xf numFmtId="170" fontId="0" fillId="17" borderId="0" xfId="0" applyNumberFormat="1" applyFill="1" applyAlignment="1">
      <alignment horizontal="center"/>
    </xf>
    <xf numFmtId="0" fontId="0" fillId="17" borderId="0" xfId="0" applyFill="1"/>
    <xf numFmtId="1" fontId="0" fillId="16" borderId="0" xfId="0" quotePrefix="1" applyNumberFormat="1" applyFill="1" applyBorder="1" applyAlignment="1">
      <alignment horizontal="center"/>
    </xf>
    <xf numFmtId="0" fontId="5" fillId="18" borderId="0" xfId="0" applyFont="1" applyFill="1" applyBorder="1" applyAlignment="1" applyProtection="1">
      <alignment horizontal="right"/>
    </xf>
    <xf numFmtId="1" fontId="0" fillId="18" borderId="0" xfId="0" applyNumberFormat="1" applyFill="1" applyBorder="1" applyAlignment="1">
      <alignment horizontal="center"/>
    </xf>
    <xf numFmtId="0" fontId="1" fillId="18" borderId="0" xfId="0" applyFont="1" applyFill="1" applyBorder="1" applyAlignment="1">
      <alignment horizontal="center"/>
    </xf>
    <xf numFmtId="170" fontId="0" fillId="18" borderId="0" xfId="0" applyNumberFormat="1" applyFill="1" applyBorder="1" applyAlignment="1">
      <alignment horizontal="center"/>
    </xf>
    <xf numFmtId="170" fontId="0" fillId="18" borderId="0" xfId="0" applyNumberFormat="1" applyFill="1" applyAlignment="1">
      <alignment horizontal="center"/>
    </xf>
    <xf numFmtId="0" fontId="0" fillId="18" borderId="0" xfId="0" applyFill="1"/>
    <xf numFmtId="43" fontId="16" fillId="0" borderId="10" xfId="0" applyNumberFormat="1" applyFont="1" applyBorder="1"/>
    <xf numFmtId="0" fontId="40" fillId="19" borderId="0" xfId="0" applyFont="1" applyFill="1" applyBorder="1" applyProtection="1"/>
    <xf numFmtId="0" fontId="16" fillId="19" borderId="0" xfId="0" applyFont="1" applyFill="1" applyBorder="1" applyProtection="1"/>
    <xf numFmtId="1" fontId="16" fillId="19" borderId="0" xfId="0" applyNumberFormat="1" applyFont="1" applyFill="1" applyBorder="1" applyProtection="1"/>
    <xf numFmtId="0" fontId="11" fillId="19" borderId="0" xfId="0" applyFont="1" applyFill="1" applyBorder="1" applyProtection="1"/>
    <xf numFmtId="0" fontId="41" fillId="19" borderId="0" xfId="0" applyFont="1" applyFill="1" applyBorder="1" applyAlignment="1" applyProtection="1">
      <alignment horizontal="right"/>
    </xf>
    <xf numFmtId="0" fontId="11" fillId="19" borderId="18" xfId="0" applyFont="1" applyFill="1" applyBorder="1" applyProtection="1"/>
    <xf numFmtId="0" fontId="16" fillId="19" borderId="18" xfId="0" applyFont="1" applyFill="1" applyBorder="1" applyProtection="1"/>
    <xf numFmtId="1" fontId="16" fillId="19" borderId="18" xfId="0" applyNumberFormat="1" applyFont="1" applyFill="1" applyBorder="1" applyProtection="1"/>
    <xf numFmtId="0" fontId="11" fillId="19" borderId="0" xfId="0" applyFont="1" applyFill="1" applyBorder="1" applyAlignment="1" applyProtection="1">
      <alignment horizontal="left"/>
    </xf>
    <xf numFmtId="0" fontId="11" fillId="19" borderId="0" xfId="0" applyFont="1" applyFill="1" applyBorder="1" applyAlignment="1" applyProtection="1">
      <alignment horizontal="right"/>
    </xf>
    <xf numFmtId="49" fontId="17" fillId="19" borderId="0" xfId="0" applyNumberFormat="1" applyFont="1" applyFill="1" applyBorder="1" applyAlignment="1" applyProtection="1">
      <alignment horizontal="right"/>
    </xf>
    <xf numFmtId="0" fontId="16" fillId="19" borderId="0" xfId="0" applyFont="1" applyFill="1" applyBorder="1" applyAlignment="1" applyProtection="1">
      <alignment horizontal="left"/>
    </xf>
    <xf numFmtId="2" fontId="11" fillId="19" borderId="0" xfId="0" applyNumberFormat="1" applyFont="1" applyFill="1" applyBorder="1" applyProtection="1"/>
    <xf numFmtId="0" fontId="10" fillId="19" borderId="0" xfId="0" applyFont="1" applyFill="1" applyBorder="1" applyAlignment="1" applyProtection="1">
      <alignment horizontal="left"/>
      <protection hidden="1"/>
    </xf>
    <xf numFmtId="0" fontId="16" fillId="19" borderId="0" xfId="0" applyFont="1" applyFill="1" applyBorder="1" applyAlignment="1" applyProtection="1">
      <alignment horizontal="right"/>
    </xf>
    <xf numFmtId="1" fontId="43" fillId="19" borderId="0" xfId="0" applyNumberFormat="1" applyFont="1" applyFill="1" applyBorder="1" applyAlignment="1" applyProtection="1">
      <alignment horizontal="left"/>
    </xf>
    <xf numFmtId="0" fontId="16" fillId="19" borderId="19" xfId="0" applyFont="1" applyFill="1" applyBorder="1" applyAlignment="1" applyProtection="1">
      <alignment horizontal="left"/>
    </xf>
    <xf numFmtId="2" fontId="11" fillId="19" borderId="0" xfId="0" applyNumberFormat="1" applyFont="1" applyFill="1" applyBorder="1" applyProtection="1">
      <protection hidden="1"/>
    </xf>
    <xf numFmtId="0" fontId="16" fillId="19" borderId="18" xfId="0" applyFont="1" applyFill="1" applyBorder="1" applyAlignment="1" applyProtection="1">
      <alignment horizontal="left"/>
    </xf>
    <xf numFmtId="1" fontId="43" fillId="19" borderId="18" xfId="0" applyNumberFormat="1" applyFont="1" applyFill="1" applyBorder="1" applyAlignment="1" applyProtection="1">
      <alignment horizontal="left"/>
    </xf>
    <xf numFmtId="0" fontId="11" fillId="19" borderId="18" xfId="0" applyFont="1" applyFill="1" applyBorder="1" applyAlignment="1" applyProtection="1">
      <alignment horizontal="left"/>
    </xf>
    <xf numFmtId="1" fontId="43" fillId="19" borderId="0" xfId="0" applyNumberFormat="1" applyFont="1" applyFill="1" applyBorder="1" applyProtection="1"/>
    <xf numFmtId="2" fontId="39" fillId="19" borderId="0" xfId="0" applyNumberFormat="1" applyFont="1" applyFill="1" applyBorder="1" applyAlignment="1" applyProtection="1">
      <alignment horizontal="center"/>
    </xf>
    <xf numFmtId="1" fontId="44" fillId="19" borderId="0" xfId="0" applyNumberFormat="1" applyFont="1" applyFill="1" applyBorder="1" applyAlignment="1" applyProtection="1">
      <alignment horizontal="left"/>
    </xf>
    <xf numFmtId="1" fontId="44" fillId="19" borderId="18" xfId="0" applyNumberFormat="1" applyFont="1" applyFill="1" applyBorder="1" applyAlignment="1" applyProtection="1">
      <alignment horizontal="left"/>
    </xf>
    <xf numFmtId="0" fontId="45" fillId="19" borderId="0" xfId="0" applyFont="1" applyFill="1" applyBorder="1" applyAlignment="1" applyProtection="1">
      <alignment horizontal="left"/>
    </xf>
    <xf numFmtId="0" fontId="11" fillId="19" borderId="0" xfId="0" applyFont="1" applyFill="1" applyBorder="1" applyProtection="1">
      <protection hidden="1"/>
    </xf>
    <xf numFmtId="2" fontId="11" fillId="19" borderId="0" xfId="0" applyNumberFormat="1" applyFont="1" applyFill="1" applyBorder="1" applyAlignment="1" applyProtection="1">
      <alignment horizontal="right"/>
    </xf>
    <xf numFmtId="0" fontId="39" fillId="19" borderId="0" xfId="0" applyFont="1" applyFill="1" applyBorder="1" applyAlignment="1" applyProtection="1">
      <alignment horizontal="center" vertical="center"/>
    </xf>
    <xf numFmtId="1" fontId="44" fillId="19" borderId="0" xfId="0" applyNumberFormat="1" applyFont="1" applyFill="1" applyBorder="1" applyAlignment="1" applyProtection="1">
      <alignment horizontal="right"/>
    </xf>
    <xf numFmtId="2" fontId="16" fillId="19" borderId="0" xfId="0" applyNumberFormat="1" applyFont="1" applyFill="1" applyBorder="1" applyAlignment="1" applyProtection="1">
      <alignment horizontal="right"/>
    </xf>
    <xf numFmtId="2" fontId="19" fillId="19" borderId="0" xfId="0" applyNumberFormat="1" applyFont="1" applyFill="1" applyBorder="1" applyAlignment="1" applyProtection="1">
      <alignment horizontal="center" vertical="center"/>
      <protection hidden="1"/>
    </xf>
    <xf numFmtId="2" fontId="16" fillId="19" borderId="19" xfId="0" applyNumberFormat="1" applyFont="1" applyFill="1" applyBorder="1" applyProtection="1"/>
    <xf numFmtId="2" fontId="16" fillId="19" borderId="0" xfId="0" applyNumberFormat="1" applyFont="1" applyFill="1" applyBorder="1" applyProtection="1"/>
    <xf numFmtId="0" fontId="16" fillId="19" borderId="18" xfId="0" applyFont="1" applyFill="1" applyBorder="1" applyAlignment="1" applyProtection="1">
      <alignment horizontal="right"/>
    </xf>
    <xf numFmtId="2" fontId="16" fillId="19" borderId="18" xfId="0" applyNumberFormat="1" applyFont="1" applyFill="1" applyBorder="1" applyProtection="1"/>
    <xf numFmtId="1" fontId="44" fillId="19" borderId="18" xfId="0" applyNumberFormat="1" applyFont="1" applyFill="1" applyBorder="1" applyAlignment="1" applyProtection="1">
      <alignment horizontal="right"/>
    </xf>
    <xf numFmtId="2" fontId="11" fillId="19" borderId="18" xfId="0" applyNumberFormat="1" applyFont="1" applyFill="1" applyBorder="1" applyProtection="1"/>
    <xf numFmtId="1" fontId="44" fillId="19" borderId="0" xfId="0" applyNumberFormat="1" applyFont="1" applyFill="1" applyBorder="1" applyProtection="1"/>
    <xf numFmtId="0" fontId="10" fillId="19" borderId="18" xfId="0" quotePrefix="1" applyFont="1" applyFill="1" applyBorder="1" applyAlignment="1" applyProtection="1"/>
    <xf numFmtId="0" fontId="10" fillId="19" borderId="18" xfId="0" applyFont="1" applyFill="1" applyBorder="1" applyAlignment="1" applyProtection="1"/>
    <xf numFmtId="3" fontId="16" fillId="19" borderId="0" xfId="0" applyNumberFormat="1" applyFont="1" applyFill="1" applyBorder="1" applyProtection="1"/>
    <xf numFmtId="0" fontId="10" fillId="19" borderId="0" xfId="0" applyFont="1" applyFill="1" applyBorder="1" applyProtection="1">
      <protection hidden="1"/>
    </xf>
    <xf numFmtId="0" fontId="46" fillId="19" borderId="0" xfId="0" applyFont="1" applyFill="1" applyBorder="1" applyAlignment="1" applyProtection="1">
      <alignment horizontal="right"/>
    </xf>
    <xf numFmtId="0" fontId="12" fillId="19" borderId="0" xfId="0" applyFont="1" applyFill="1" applyBorder="1" applyAlignment="1" applyProtection="1">
      <alignment vertical="center" wrapText="1"/>
    </xf>
    <xf numFmtId="4" fontId="16" fillId="19" borderId="0" xfId="0" applyNumberFormat="1" applyFont="1" applyFill="1" applyBorder="1" applyProtection="1"/>
    <xf numFmtId="0" fontId="11" fillId="19" borderId="0" xfId="0" quotePrefix="1" applyFont="1" applyFill="1" applyBorder="1" applyAlignment="1" applyProtection="1">
      <alignment horizontal="center"/>
    </xf>
    <xf numFmtId="166" fontId="11" fillId="19" borderId="0" xfId="0" applyNumberFormat="1" applyFont="1" applyFill="1" applyBorder="1" applyProtection="1"/>
    <xf numFmtId="1" fontId="47" fillId="19" borderId="0" xfId="0" applyNumberFormat="1" applyFont="1" applyFill="1" applyBorder="1" applyProtection="1"/>
    <xf numFmtId="2" fontId="16" fillId="19" borderId="0" xfId="0" applyNumberFormat="1" applyFont="1" applyFill="1" applyBorder="1" applyAlignment="1" applyProtection="1">
      <alignment horizontal="left"/>
    </xf>
    <xf numFmtId="168" fontId="65" fillId="20" borderId="20" xfId="0" applyNumberFormat="1" applyFont="1" applyFill="1" applyBorder="1" applyProtection="1"/>
    <xf numFmtId="167" fontId="59" fillId="20" borderId="20" xfId="0" applyNumberFormat="1" applyFont="1" applyFill="1" applyBorder="1" applyProtection="1"/>
    <xf numFmtId="166" fontId="59" fillId="20" borderId="20" xfId="0" applyNumberFormat="1" applyFont="1" applyFill="1" applyBorder="1" applyProtection="1"/>
    <xf numFmtId="166" fontId="59" fillId="20" borderId="20" xfId="0" applyNumberFormat="1" applyFont="1" applyFill="1" applyBorder="1" applyAlignment="1" applyProtection="1">
      <alignment vertical="center"/>
    </xf>
    <xf numFmtId="2" fontId="59" fillId="20" borderId="20" xfId="0" applyNumberFormat="1" applyFont="1" applyFill="1" applyBorder="1" applyProtection="1"/>
    <xf numFmtId="4" fontId="59" fillId="20" borderId="20" xfId="0" applyNumberFormat="1" applyFont="1" applyFill="1" applyBorder="1" applyAlignment="1" applyProtection="1">
      <alignment horizontal="right"/>
    </xf>
    <xf numFmtId="4" fontId="59" fillId="20" borderId="20" xfId="0" applyNumberFormat="1" applyFont="1" applyFill="1" applyBorder="1" applyProtection="1"/>
    <xf numFmtId="4" fontId="59" fillId="20" borderId="20" xfId="0" quotePrefix="1" applyNumberFormat="1" applyFont="1" applyFill="1" applyBorder="1" applyProtection="1"/>
    <xf numFmtId="4" fontId="59" fillId="20" borderId="20" xfId="0" applyNumberFormat="1" applyFont="1" applyFill="1" applyBorder="1" applyAlignment="1" applyProtection="1">
      <alignment vertical="center"/>
    </xf>
    <xf numFmtId="0" fontId="11" fillId="0" borderId="0" xfId="0" applyFont="1" applyAlignment="1">
      <alignment horizontal="right"/>
    </xf>
    <xf numFmtId="0" fontId="0" fillId="14" borderId="0" xfId="0" applyFill="1"/>
    <xf numFmtId="172" fontId="59" fillId="20" borderId="20" xfId="1" applyNumberFormat="1" applyFont="1" applyFill="1" applyBorder="1" applyProtection="1"/>
    <xf numFmtId="0" fontId="59" fillId="13" borderId="0" xfId="0" quotePrefix="1" applyFont="1" applyFill="1" applyBorder="1" applyAlignment="1" applyProtection="1">
      <alignment horizontal="right"/>
    </xf>
    <xf numFmtId="0" fontId="94" fillId="13" borderId="0" xfId="0" applyFont="1" applyFill="1" applyBorder="1" applyAlignment="1" applyProtection="1">
      <alignment horizontal="right"/>
    </xf>
    <xf numFmtId="0" fontId="95" fillId="19" borderId="0" xfId="0" applyFont="1" applyFill="1" applyBorder="1" applyAlignment="1" applyProtection="1">
      <alignment horizontal="right"/>
    </xf>
    <xf numFmtId="0" fontId="16" fillId="19" borderId="19" xfId="0" applyFont="1" applyFill="1" applyBorder="1" applyAlignment="1" applyProtection="1">
      <alignment horizontal="right" vertical="center"/>
    </xf>
    <xf numFmtId="0" fontId="16" fillId="19" borderId="0" xfId="0" applyFont="1" applyFill="1" applyBorder="1" applyAlignment="1" applyProtection="1">
      <alignment horizontal="right" vertical="center"/>
    </xf>
    <xf numFmtId="0" fontId="60" fillId="13" borderId="10" xfId="0" quotePrefix="1" applyFont="1" applyFill="1" applyBorder="1" applyAlignment="1" applyProtection="1">
      <alignment horizontal="right"/>
    </xf>
    <xf numFmtId="172" fontId="60" fillId="20" borderId="20" xfId="1" applyNumberFormat="1" applyFont="1" applyFill="1" applyBorder="1" applyProtection="1"/>
    <xf numFmtId="0" fontId="96" fillId="0" borderId="0" xfId="0" applyFont="1" applyProtection="1"/>
    <xf numFmtId="0" fontId="12" fillId="0" borderId="0" xfId="0" applyFont="1" applyProtection="1"/>
    <xf numFmtId="0" fontId="11" fillId="0" borderId="0" xfId="0" applyFont="1"/>
    <xf numFmtId="0" fontId="11" fillId="0" borderId="18" xfId="0" applyFont="1" applyBorder="1"/>
    <xf numFmtId="0" fontId="11" fillId="17" borderId="0" xfId="0" applyFont="1" applyFill="1"/>
    <xf numFmtId="0" fontId="11" fillId="18" borderId="0" xfId="0" applyFont="1" applyFill="1"/>
    <xf numFmtId="0" fontId="11" fillId="16" borderId="0" xfId="0" applyFont="1" applyFill="1"/>
    <xf numFmtId="0" fontId="97" fillId="21" borderId="0" xfId="0" applyFont="1" applyFill="1" applyAlignment="1">
      <alignment horizontal="center"/>
    </xf>
    <xf numFmtId="0" fontId="16" fillId="13" borderId="21" xfId="0" applyFont="1" applyFill="1" applyBorder="1" applyAlignment="1">
      <alignment horizontal="right" vertical="center"/>
    </xf>
    <xf numFmtId="43" fontId="59" fillId="15" borderId="0" xfId="1" applyFont="1" applyFill="1" applyProtection="1"/>
    <xf numFmtId="0" fontId="59" fillId="13" borderId="22" xfId="0" applyFont="1" applyFill="1" applyBorder="1" applyAlignment="1" applyProtection="1">
      <protection hidden="1"/>
    </xf>
    <xf numFmtId="0" fontId="59" fillId="13" borderId="0" xfId="0" applyFont="1" applyFill="1" applyBorder="1" applyAlignment="1" applyProtection="1">
      <protection hidden="1"/>
    </xf>
    <xf numFmtId="0" fontId="59" fillId="13" borderId="0" xfId="0" applyFont="1" applyFill="1" applyBorder="1" applyAlignment="1" applyProtection="1">
      <alignment horizontal="right"/>
      <protection hidden="1"/>
    </xf>
    <xf numFmtId="0" fontId="60" fillId="13" borderId="0" xfId="0" applyFont="1" applyFill="1" applyBorder="1" applyAlignment="1" applyProtection="1">
      <protection hidden="1"/>
    </xf>
    <xf numFmtId="0" fontId="11" fillId="0" borderId="0" xfId="0" applyFont="1" applyAlignment="1" applyProtection="1">
      <alignment horizontal="center" vertical="center"/>
    </xf>
    <xf numFmtId="0" fontId="11" fillId="3" borderId="0" xfId="0" applyFont="1" applyFill="1" applyBorder="1" applyProtection="1"/>
    <xf numFmtId="0" fontId="72" fillId="13" borderId="6" xfId="4" quotePrefix="1" applyFont="1" applyFill="1" applyBorder="1" applyAlignment="1" applyProtection="1">
      <alignment horizontal="center" vertical="center" wrapText="1" shrinkToFit="1"/>
    </xf>
    <xf numFmtId="0" fontId="39" fillId="13" borderId="0" xfId="0" quotePrefix="1" applyFont="1" applyFill="1" applyBorder="1" applyProtection="1"/>
    <xf numFmtId="0" fontId="2" fillId="13" borderId="6" xfId="4" applyFont="1" applyFill="1" applyBorder="1" applyAlignment="1" applyProtection="1">
      <alignment horizontal="center" vertical="center" wrapText="1" shrinkToFit="1"/>
    </xf>
    <xf numFmtId="0" fontId="39" fillId="13" borderId="0" xfId="0" applyFont="1" applyFill="1" applyBorder="1" applyProtection="1"/>
    <xf numFmtId="168" fontId="71" fillId="13" borderId="0" xfId="0" applyNumberFormat="1" applyFont="1" applyFill="1" applyBorder="1" applyAlignment="1" applyProtection="1">
      <alignment wrapText="1"/>
    </xf>
    <xf numFmtId="168" fontId="71" fillId="13" borderId="6" xfId="0" applyNumberFormat="1" applyFont="1" applyFill="1" applyBorder="1" applyAlignment="1" applyProtection="1">
      <alignment horizontal="center" vertical="center"/>
    </xf>
    <xf numFmtId="2" fontId="73" fillId="13" borderId="0" xfId="0" quotePrefix="1" applyNumberFormat="1" applyFont="1" applyFill="1" applyBorder="1" applyProtection="1"/>
    <xf numFmtId="0" fontId="39" fillId="13" borderId="7" xfId="0" applyFont="1" applyFill="1" applyBorder="1" applyProtection="1"/>
    <xf numFmtId="168" fontId="71" fillId="13" borderId="7" xfId="0" applyNumberFormat="1" applyFont="1" applyFill="1" applyBorder="1" applyAlignment="1" applyProtection="1">
      <alignment wrapText="1"/>
    </xf>
    <xf numFmtId="168" fontId="71" fillId="13" borderId="0" xfId="0" quotePrefix="1" applyNumberFormat="1" applyFont="1" applyFill="1" applyBorder="1" applyAlignment="1" applyProtection="1">
      <alignment horizontal="center"/>
    </xf>
    <xf numFmtId="168" fontId="74" fillId="13" borderId="7" xfId="0" applyNumberFormat="1" applyFont="1" applyFill="1" applyBorder="1" applyAlignment="1" applyProtection="1">
      <alignment wrapText="1"/>
    </xf>
    <xf numFmtId="2" fontId="73" fillId="13" borderId="6" xfId="0" quotePrefix="1" applyNumberFormat="1" applyFont="1" applyFill="1" applyBorder="1" applyAlignment="1" applyProtection="1">
      <alignment horizontal="center"/>
    </xf>
    <xf numFmtId="168" fontId="74" fillId="13" borderId="6" xfId="0" applyNumberFormat="1" applyFont="1" applyFill="1" applyBorder="1" applyAlignment="1" applyProtection="1">
      <alignment horizontal="center" vertical="center"/>
    </xf>
    <xf numFmtId="0" fontId="39" fillId="13" borderId="18" xfId="0" applyFont="1" applyFill="1" applyBorder="1" applyProtection="1"/>
    <xf numFmtId="168" fontId="74" fillId="13" borderId="0" xfId="0" applyNumberFormat="1" applyFont="1" applyFill="1" applyBorder="1" applyAlignment="1" applyProtection="1">
      <alignment wrapText="1"/>
    </xf>
    <xf numFmtId="0" fontId="39" fillId="13" borderId="8" xfId="0" applyFont="1" applyFill="1" applyBorder="1" applyProtection="1"/>
    <xf numFmtId="168" fontId="71" fillId="13" borderId="0" xfId="0" quotePrefix="1" applyNumberFormat="1" applyFont="1" applyFill="1" applyBorder="1" applyAlignment="1" applyProtection="1">
      <alignment horizontal="center" vertical="center"/>
    </xf>
    <xf numFmtId="0" fontId="39" fillId="13" borderId="6" xfId="0" applyFont="1" applyFill="1" applyBorder="1" applyProtection="1"/>
    <xf numFmtId="168" fontId="74" fillId="13" borderId="7" xfId="4" applyNumberFormat="1" applyFont="1" applyFill="1" applyBorder="1" applyAlignment="1" applyProtection="1">
      <alignment horizontal="right" vertical="center" wrapText="1" shrinkToFit="1"/>
    </xf>
    <xf numFmtId="168" fontId="74" fillId="13" borderId="0" xfId="0" applyNumberFormat="1" applyFont="1" applyFill="1" applyBorder="1" applyAlignment="1" applyProtection="1">
      <alignment horizontal="center" vertical="center"/>
    </xf>
    <xf numFmtId="0" fontId="74" fillId="13" borderId="0" xfId="0" applyFont="1" applyFill="1" applyBorder="1" applyAlignment="1" applyProtection="1">
      <alignment wrapText="1"/>
    </xf>
    <xf numFmtId="0" fontId="74" fillId="13" borderId="7" xfId="0" applyFont="1" applyFill="1" applyBorder="1" applyAlignment="1" applyProtection="1">
      <alignment wrapText="1"/>
    </xf>
    <xf numFmtId="0" fontId="11" fillId="13" borderId="0" xfId="0" applyFont="1" applyFill="1" applyBorder="1" applyProtection="1"/>
    <xf numFmtId="0" fontId="11" fillId="13" borderId="23" xfId="0" applyFont="1" applyFill="1" applyBorder="1" applyProtection="1"/>
    <xf numFmtId="0" fontId="11" fillId="13" borderId="23" xfId="0" applyFont="1" applyFill="1" applyBorder="1" applyAlignment="1" applyProtection="1">
      <alignment wrapText="1"/>
    </xf>
    <xf numFmtId="0" fontId="39" fillId="13" borderId="0" xfId="0" applyFont="1" applyFill="1" applyBorder="1" applyAlignment="1" applyProtection="1">
      <alignment horizontal="right"/>
    </xf>
    <xf numFmtId="0" fontId="11" fillId="13" borderId="0" xfId="0" applyFont="1" applyFill="1" applyBorder="1" applyAlignment="1" applyProtection="1">
      <alignment horizontal="right"/>
    </xf>
    <xf numFmtId="1" fontId="11" fillId="13" borderId="0" xfId="0" applyNumberFormat="1" applyFont="1" applyFill="1" applyBorder="1" applyAlignment="1" applyProtection="1">
      <alignment horizontal="left"/>
    </xf>
    <xf numFmtId="0" fontId="11" fillId="13" borderId="0" xfId="0" applyFont="1" applyFill="1" applyBorder="1" applyAlignment="1" applyProtection="1">
      <alignment horizontal="left" vertical="top"/>
    </xf>
    <xf numFmtId="0" fontId="11" fillId="13" borderId="0" xfId="0" applyFont="1" applyFill="1" applyBorder="1" applyAlignment="1" applyProtection="1">
      <alignment vertical="center"/>
    </xf>
    <xf numFmtId="0" fontId="11" fillId="13" borderId="0" xfId="0" applyFont="1" applyFill="1" applyBorder="1" applyAlignment="1" applyProtection="1">
      <alignment horizontal="left" vertical="center"/>
    </xf>
    <xf numFmtId="0" fontId="11" fillId="13" borderId="0" xfId="0" applyFont="1" applyFill="1" applyBorder="1" applyAlignment="1" applyProtection="1">
      <alignment horizontal="right" vertical="center"/>
    </xf>
    <xf numFmtId="0" fontId="2" fillId="13" borderId="0" xfId="4" applyFont="1" applyFill="1" applyBorder="1" applyAlignment="1" applyProtection="1">
      <alignment vertical="center"/>
    </xf>
    <xf numFmtId="0" fontId="11" fillId="13" borderId="24" xfId="0" applyFont="1" applyFill="1" applyBorder="1" applyProtection="1"/>
    <xf numFmtId="0" fontId="11" fillId="13" borderId="25" xfId="0" applyFont="1" applyFill="1" applyBorder="1" applyProtection="1"/>
    <xf numFmtId="0" fontId="11" fillId="13" borderId="26" xfId="0" applyFont="1" applyFill="1" applyBorder="1" applyProtection="1"/>
    <xf numFmtId="0" fontId="11" fillId="22" borderId="0" xfId="0" applyFont="1" applyFill="1" applyBorder="1" applyProtection="1"/>
    <xf numFmtId="0" fontId="11" fillId="22" borderId="0" xfId="0" applyFont="1" applyFill="1" applyProtection="1"/>
    <xf numFmtId="0" fontId="68" fillId="22" borderId="0" xfId="0" applyFont="1" applyFill="1" applyProtection="1"/>
    <xf numFmtId="0" fontId="11" fillId="22" borderId="0" xfId="0" applyFont="1" applyFill="1" applyAlignment="1" applyProtection="1">
      <alignment horizontal="center" vertical="center"/>
    </xf>
    <xf numFmtId="0" fontId="11" fillId="20" borderId="20" xfId="0" applyFont="1" applyFill="1" applyBorder="1" applyProtection="1"/>
    <xf numFmtId="0" fontId="11" fillId="16" borderId="20" xfId="0" applyFont="1" applyFill="1" applyBorder="1" applyProtection="1"/>
    <xf numFmtId="0" fontId="11" fillId="21" borderId="106" xfId="0" applyFont="1" applyFill="1" applyBorder="1" applyProtection="1"/>
    <xf numFmtId="0" fontId="10" fillId="13" borderId="0" xfId="0" applyFont="1" applyFill="1" applyBorder="1" applyProtection="1"/>
    <xf numFmtId="0" fontId="11" fillId="13" borderId="0" xfId="0" applyFont="1" applyFill="1" applyBorder="1" applyAlignment="1" applyProtection="1">
      <alignment wrapText="1"/>
    </xf>
    <xf numFmtId="0" fontId="46" fillId="13" borderId="0" xfId="0" applyFont="1" applyFill="1" applyBorder="1" applyAlignment="1" applyProtection="1">
      <alignment wrapText="1"/>
    </xf>
    <xf numFmtId="0" fontId="11" fillId="13" borderId="0" xfId="0" applyFont="1" applyFill="1" applyBorder="1" applyAlignment="1" applyProtection="1">
      <alignment horizontal="left" vertical="center" wrapText="1"/>
    </xf>
    <xf numFmtId="10" fontId="11" fillId="16" borderId="20" xfId="0" applyNumberFormat="1" applyFont="1" applyFill="1" applyBorder="1" applyProtection="1"/>
    <xf numFmtId="0" fontId="75" fillId="13" borderId="0" xfId="4" applyFont="1" applyFill="1" applyBorder="1" applyAlignment="1" applyProtection="1"/>
    <xf numFmtId="0" fontId="11" fillId="13" borderId="0" xfId="0" applyFont="1" applyFill="1" applyBorder="1" applyAlignment="1" applyProtection="1">
      <alignment horizontal="right" wrapText="1"/>
    </xf>
    <xf numFmtId="0" fontId="7" fillId="13" borderId="27" xfId="0" applyFont="1" applyFill="1" applyBorder="1" applyProtection="1"/>
    <xf numFmtId="0" fontId="7" fillId="13" borderId="0" xfId="0" applyFont="1" applyFill="1" applyBorder="1" applyProtection="1"/>
    <xf numFmtId="0" fontId="6" fillId="13" borderId="0" xfId="0" applyFont="1" applyFill="1" applyBorder="1" applyProtection="1"/>
    <xf numFmtId="0" fontId="15" fillId="13" borderId="0" xfId="0" applyFont="1" applyFill="1" applyBorder="1" applyProtection="1"/>
    <xf numFmtId="0" fontId="6" fillId="13" borderId="23" xfId="0" applyFont="1" applyFill="1" applyBorder="1" applyProtection="1"/>
    <xf numFmtId="0" fontId="7" fillId="13" borderId="28" xfId="0" applyFont="1" applyFill="1" applyBorder="1" applyProtection="1"/>
    <xf numFmtId="0" fontId="7" fillId="13" borderId="24" xfId="0" applyFont="1" applyFill="1" applyBorder="1" applyProtection="1"/>
    <xf numFmtId="0" fontId="6" fillId="13" borderId="24" xfId="0" applyFont="1" applyFill="1" applyBorder="1" applyProtection="1"/>
    <xf numFmtId="0" fontId="15" fillId="13" borderId="24" xfId="0" applyFont="1" applyFill="1" applyBorder="1" applyProtection="1"/>
    <xf numFmtId="0" fontId="6" fillId="13" borderId="25" xfId="0" applyFont="1" applyFill="1" applyBorder="1" applyProtection="1"/>
    <xf numFmtId="0" fontId="9" fillId="13" borderId="27" xfId="0" applyFont="1" applyFill="1" applyBorder="1"/>
    <xf numFmtId="0" fontId="5" fillId="13" borderId="0" xfId="0" applyFont="1" applyFill="1" applyBorder="1"/>
    <xf numFmtId="0" fontId="13" fillId="13" borderId="23" xfId="0" applyFont="1" applyFill="1" applyBorder="1"/>
    <xf numFmtId="0" fontId="5" fillId="13" borderId="27" xfId="0" applyFont="1" applyFill="1" applyBorder="1"/>
    <xf numFmtId="0" fontId="9" fillId="13" borderId="0" xfId="0" applyFont="1" applyFill="1"/>
    <xf numFmtId="0" fontId="9" fillId="13" borderId="28" xfId="0" applyFont="1" applyFill="1" applyBorder="1"/>
    <xf numFmtId="0" fontId="28" fillId="13" borderId="29" xfId="0" applyFont="1" applyFill="1" applyBorder="1" applyAlignment="1">
      <alignment horizontal="center" wrapText="1"/>
    </xf>
    <xf numFmtId="0" fontId="5" fillId="13" borderId="23" xfId="0" applyFont="1" applyFill="1" applyBorder="1"/>
    <xf numFmtId="0" fontId="13" fillId="13" borderId="0" xfId="0" applyFont="1" applyFill="1"/>
    <xf numFmtId="0" fontId="13" fillId="13" borderId="25" xfId="0" applyFont="1" applyFill="1" applyBorder="1"/>
    <xf numFmtId="0" fontId="5" fillId="13" borderId="0" xfId="0" applyFont="1" applyFill="1" applyBorder="1" applyAlignment="1">
      <alignment horizontal="left"/>
    </xf>
    <xf numFmtId="0" fontId="5" fillId="13" borderId="0" xfId="0" applyFont="1" applyFill="1"/>
    <xf numFmtId="0" fontId="5" fillId="13" borderId="24" xfId="0" applyFont="1" applyFill="1" applyBorder="1"/>
    <xf numFmtId="0" fontId="29" fillId="13" borderId="0" xfId="0" applyFont="1" applyFill="1" applyBorder="1" applyAlignment="1">
      <alignment horizontal="center"/>
    </xf>
    <xf numFmtId="0" fontId="16" fillId="13" borderId="1" xfId="0" applyFont="1" applyFill="1" applyBorder="1" applyAlignment="1">
      <alignment horizontal="center" vertical="center"/>
    </xf>
    <xf numFmtId="0" fontId="16" fillId="3" borderId="30" xfId="0" applyFont="1" applyFill="1" applyBorder="1" applyAlignment="1">
      <alignment horizontal="center" vertical="center"/>
    </xf>
    <xf numFmtId="0" fontId="16" fillId="3" borderId="31" xfId="0" applyFont="1" applyFill="1" applyBorder="1" applyAlignment="1">
      <alignment horizontal="center" vertical="center"/>
    </xf>
    <xf numFmtId="0" fontId="16" fillId="3" borderId="32" xfId="0" applyFont="1" applyFill="1" applyBorder="1" applyAlignment="1">
      <alignment horizontal="center" vertical="center"/>
    </xf>
    <xf numFmtId="0" fontId="16" fillId="3" borderId="33" xfId="0" applyFont="1" applyFill="1" applyBorder="1" applyAlignment="1">
      <alignment horizontal="center" vertical="center"/>
    </xf>
    <xf numFmtId="0" fontId="11" fillId="13" borderId="0" xfId="0" applyFont="1" applyFill="1" applyBorder="1" applyAlignment="1"/>
    <xf numFmtId="0" fontId="11" fillId="13" borderId="0" xfId="0" applyFont="1" applyFill="1" applyBorder="1" applyAlignment="1">
      <alignment horizontal="left"/>
    </xf>
    <xf numFmtId="0" fontId="11" fillId="13" borderId="0" xfId="0" applyFont="1" applyFill="1" applyBorder="1"/>
    <xf numFmtId="0" fontId="11" fillId="13" borderId="27" xfId="0" applyFont="1" applyFill="1" applyBorder="1"/>
    <xf numFmtId="0" fontId="11" fillId="13" borderId="23" xfId="0" applyFont="1" applyFill="1" applyBorder="1" applyAlignment="1"/>
    <xf numFmtId="0" fontId="11" fillId="2" borderId="0" xfId="0" applyFont="1" applyFill="1"/>
    <xf numFmtId="0" fontId="40" fillId="13" borderId="0" xfId="0" applyFont="1" applyFill="1" applyBorder="1" applyAlignment="1">
      <alignment horizontal="left" wrapText="1"/>
    </xf>
    <xf numFmtId="0" fontId="11" fillId="13" borderId="23" xfId="0" applyFont="1" applyFill="1" applyBorder="1"/>
    <xf numFmtId="0" fontId="11" fillId="21" borderId="32" xfId="0" applyFont="1" applyFill="1" applyBorder="1"/>
    <xf numFmtId="0" fontId="11" fillId="21" borderId="34" xfId="0" applyFont="1" applyFill="1" applyBorder="1"/>
    <xf numFmtId="0" fontId="11" fillId="21" borderId="0" xfId="0" applyFont="1" applyFill="1" applyBorder="1"/>
    <xf numFmtId="0" fontId="11" fillId="21" borderId="35" xfId="0" applyFont="1" applyFill="1" applyBorder="1"/>
    <xf numFmtId="0" fontId="79" fillId="21" borderId="34" xfId="0" applyFont="1" applyFill="1" applyBorder="1"/>
    <xf numFmtId="0" fontId="80" fillId="21" borderId="34" xfId="0" applyFont="1" applyFill="1" applyBorder="1"/>
    <xf numFmtId="0" fontId="79" fillId="21" borderId="32" xfId="0" applyFont="1" applyFill="1" applyBorder="1"/>
    <xf numFmtId="0" fontId="79" fillId="21" borderId="0" xfId="0" applyFont="1" applyFill="1" applyBorder="1"/>
    <xf numFmtId="0" fontId="80" fillId="21" borderId="0" xfId="0" applyFont="1" applyFill="1" applyBorder="1"/>
    <xf numFmtId="17" fontId="80" fillId="21" borderId="33" xfId="0" applyNumberFormat="1" applyFont="1" applyFill="1" applyBorder="1"/>
    <xf numFmtId="0" fontId="79" fillId="21" borderId="35" xfId="0" applyFont="1" applyFill="1" applyBorder="1"/>
    <xf numFmtId="0" fontId="80" fillId="21" borderId="35" xfId="0" applyFont="1" applyFill="1" applyBorder="1"/>
    <xf numFmtId="0" fontId="80" fillId="21" borderId="33" xfId="0" applyFont="1" applyFill="1" applyBorder="1"/>
    <xf numFmtId="0" fontId="11" fillId="21" borderId="36" xfId="0" applyFont="1" applyFill="1" applyBorder="1"/>
    <xf numFmtId="0" fontId="11" fillId="21" borderId="37" xfId="0" applyFont="1" applyFill="1" applyBorder="1"/>
    <xf numFmtId="0" fontId="11" fillId="21" borderId="38" xfId="0" applyFont="1" applyFill="1" applyBorder="1"/>
    <xf numFmtId="0" fontId="83" fillId="21" borderId="30" xfId="0" applyFont="1" applyFill="1" applyBorder="1" applyAlignment="1">
      <alignment vertical="top"/>
    </xf>
    <xf numFmtId="0" fontId="83" fillId="21" borderId="30" xfId="0" applyFont="1" applyFill="1" applyBorder="1"/>
    <xf numFmtId="0" fontId="82" fillId="21" borderId="34" xfId="0" applyFont="1" applyFill="1" applyBorder="1"/>
    <xf numFmtId="0" fontId="82" fillId="21" borderId="0" xfId="0" applyFont="1" applyFill="1" applyBorder="1"/>
    <xf numFmtId="0" fontId="82" fillId="21" borderId="35" xfId="0" applyFont="1" applyFill="1" applyBorder="1"/>
    <xf numFmtId="1" fontId="16" fillId="7" borderId="10" xfId="0" applyNumberFormat="1" applyFont="1" applyFill="1" applyBorder="1" applyAlignment="1">
      <alignment horizontal="center"/>
    </xf>
    <xf numFmtId="1" fontId="12" fillId="3" borderId="106" xfId="0" applyNumberFormat="1" applyFont="1" applyFill="1" applyBorder="1" applyAlignment="1" applyProtection="1">
      <alignment horizontal="center"/>
      <protection locked="0"/>
    </xf>
    <xf numFmtId="0" fontId="11" fillId="3" borderId="19" xfId="0" applyFont="1" applyFill="1" applyBorder="1" applyProtection="1"/>
    <xf numFmtId="0" fontId="11" fillId="3" borderId="26" xfId="0" applyFont="1" applyFill="1" applyBorder="1" applyProtection="1"/>
    <xf numFmtId="164" fontId="11" fillId="19" borderId="26" xfId="0" applyNumberFormat="1" applyFont="1" applyFill="1" applyBorder="1" applyProtection="1"/>
    <xf numFmtId="10" fontId="11" fillId="16" borderId="106" xfId="0" applyNumberFormat="1" applyFont="1" applyFill="1" applyBorder="1" applyAlignment="1" applyProtection="1">
      <alignment horizontal="right" shrinkToFit="1"/>
    </xf>
    <xf numFmtId="168" fontId="11" fillId="3" borderId="106" xfId="0" applyNumberFormat="1" applyFont="1" applyFill="1" applyBorder="1" applyProtection="1">
      <protection locked="0"/>
    </xf>
    <xf numFmtId="168" fontId="11" fillId="20" borderId="106" xfId="0" applyNumberFormat="1" applyFont="1" applyFill="1" applyBorder="1" applyProtection="1"/>
    <xf numFmtId="1" fontId="11" fillId="3" borderId="19" xfId="0" applyNumberFormat="1" applyFont="1" applyFill="1" applyBorder="1" applyProtection="1"/>
    <xf numFmtId="168" fontId="65" fillId="20" borderId="106" xfId="0" applyNumberFormat="1" applyFont="1" applyFill="1" applyBorder="1" applyProtection="1"/>
    <xf numFmtId="168" fontId="11" fillId="20" borderId="107" xfId="0" applyNumberFormat="1" applyFont="1" applyFill="1" applyBorder="1" applyProtection="1"/>
    <xf numFmtId="10" fontId="11" fillId="3" borderId="107" xfId="0" applyNumberFormat="1" applyFont="1" applyFill="1" applyBorder="1" applyAlignment="1" applyProtection="1">
      <alignment horizontal="right" shrinkToFit="1"/>
      <protection locked="0"/>
    </xf>
    <xf numFmtId="168" fontId="11" fillId="20" borderId="106" xfId="0" applyNumberFormat="1" applyFont="1" applyFill="1" applyBorder="1" applyAlignment="1" applyProtection="1">
      <alignment horizontal="right"/>
    </xf>
    <xf numFmtId="165" fontId="11" fillId="3" borderId="106" xfId="0" applyNumberFormat="1" applyFont="1" applyFill="1" applyBorder="1" applyProtection="1">
      <protection locked="0"/>
    </xf>
    <xf numFmtId="3" fontId="11" fillId="3" borderId="106" xfId="0" applyNumberFormat="1" applyFont="1" applyFill="1" applyBorder="1" applyProtection="1">
      <protection locked="0"/>
    </xf>
    <xf numFmtId="1" fontId="11" fillId="20" borderId="106" xfId="0" applyNumberFormat="1" applyFont="1" applyFill="1" applyBorder="1" applyProtection="1"/>
    <xf numFmtId="165" fontId="11" fillId="3" borderId="106" xfId="0" applyNumberFormat="1" applyFont="1" applyFill="1" applyBorder="1" applyAlignment="1" applyProtection="1">
      <alignment horizontal="right"/>
      <protection locked="0"/>
    </xf>
    <xf numFmtId="166" fontId="11" fillId="3" borderId="106" xfId="0" applyNumberFormat="1" applyFont="1" applyFill="1" applyBorder="1" applyProtection="1">
      <protection locked="0"/>
    </xf>
    <xf numFmtId="169" fontId="11" fillId="3" borderId="106" xfId="0" applyNumberFormat="1" applyFont="1" applyFill="1" applyBorder="1" applyProtection="1">
      <protection locked="0"/>
    </xf>
    <xf numFmtId="0" fontId="11" fillId="0" borderId="0" xfId="0" applyFont="1" applyFill="1" applyProtection="1"/>
    <xf numFmtId="0" fontId="11" fillId="14" borderId="0" xfId="0" applyFont="1" applyFill="1"/>
    <xf numFmtId="0" fontId="16" fillId="0" borderId="0" xfId="0" applyFont="1" applyFill="1" applyAlignment="1">
      <alignment horizontal="left"/>
    </xf>
    <xf numFmtId="0" fontId="50" fillId="22" borderId="0" xfId="0" applyFont="1" applyFill="1" applyAlignment="1" applyProtection="1">
      <alignment vertical="center"/>
    </xf>
    <xf numFmtId="0" fontId="50" fillId="22" borderId="0" xfId="0" applyFont="1" applyFill="1" applyAlignment="1" applyProtection="1">
      <alignment horizontal="center"/>
    </xf>
    <xf numFmtId="0" fontId="50" fillId="22" borderId="0" xfId="0" applyFont="1" applyFill="1" applyProtection="1"/>
    <xf numFmtId="0" fontId="50" fillId="22" borderId="0" xfId="0" applyFont="1" applyFill="1" applyBorder="1" applyProtection="1"/>
    <xf numFmtId="1" fontId="11" fillId="22" borderId="0" xfId="0" applyNumberFormat="1" applyFont="1" applyFill="1" applyProtection="1"/>
    <xf numFmtId="0" fontId="11" fillId="0" borderId="0" xfId="0" applyFont="1" applyBorder="1" applyAlignment="1" applyProtection="1">
      <alignment wrapText="1"/>
    </xf>
    <xf numFmtId="0" fontId="11" fillId="0" borderId="0" xfId="0" applyFont="1" applyBorder="1" applyAlignment="1" applyProtection="1"/>
    <xf numFmtId="1" fontId="50" fillId="22" borderId="0" xfId="0" applyNumberFormat="1" applyFont="1" applyFill="1" applyBorder="1" applyProtection="1"/>
    <xf numFmtId="0" fontId="11" fillId="0" borderId="0" xfId="0" applyFont="1" applyProtection="1">
      <protection hidden="1"/>
    </xf>
    <xf numFmtId="0" fontId="11" fillId="0" borderId="30" xfId="0" applyFont="1" applyBorder="1" applyProtection="1">
      <protection locked="0"/>
    </xf>
    <xf numFmtId="0" fontId="11" fillId="0" borderId="32" xfId="0" applyFont="1" applyBorder="1" applyProtection="1">
      <protection locked="0"/>
    </xf>
    <xf numFmtId="0" fontId="11" fillId="0" borderId="33" xfId="0" applyNumberFormat="1" applyFont="1" applyBorder="1" applyProtection="1">
      <protection locked="0"/>
    </xf>
    <xf numFmtId="4" fontId="11" fillId="0" borderId="0" xfId="1" applyNumberFormat="1" applyFont="1" applyBorder="1" applyProtection="1">
      <protection locked="0"/>
    </xf>
    <xf numFmtId="43" fontId="96" fillId="0" borderId="0" xfId="0" applyNumberFormat="1" applyFont="1" applyBorder="1" applyProtection="1">
      <protection locked="0"/>
    </xf>
    <xf numFmtId="0" fontId="11" fillId="0" borderId="0" xfId="0" applyFont="1" applyBorder="1" applyProtection="1">
      <protection locked="0"/>
    </xf>
    <xf numFmtId="0" fontId="96" fillId="0" borderId="0" xfId="0" applyFont="1" applyBorder="1" applyProtection="1">
      <protection locked="0"/>
    </xf>
    <xf numFmtId="0" fontId="11" fillId="0" borderId="0" xfId="0" applyFont="1" applyProtection="1">
      <protection locked="0"/>
    </xf>
    <xf numFmtId="10" fontId="11" fillId="21" borderId="106" xfId="0" applyNumberFormat="1" applyFont="1" applyFill="1" applyBorder="1" applyAlignment="1" applyProtection="1">
      <alignment horizontal="right" shrinkToFit="1"/>
      <protection locked="0"/>
    </xf>
    <xf numFmtId="0" fontId="98" fillId="14" borderId="0" xfId="0" applyFont="1" applyFill="1" applyProtection="1">
      <protection locked="0"/>
    </xf>
    <xf numFmtId="0" fontId="68" fillId="3" borderId="0" xfId="0" applyFont="1" applyFill="1"/>
    <xf numFmtId="0" fontId="68" fillId="0" borderId="0" xfId="0" applyFont="1" applyFill="1"/>
    <xf numFmtId="0" fontId="11" fillId="0" borderId="0" xfId="0" applyFont="1" applyAlignment="1"/>
    <xf numFmtId="0" fontId="11" fillId="0" borderId="0" xfId="0" applyFont="1" applyAlignment="1">
      <alignment vertical="center"/>
    </xf>
    <xf numFmtId="0" fontId="16" fillId="0" borderId="0" xfId="0" applyFont="1" applyFill="1" applyAlignment="1">
      <alignment wrapText="1"/>
    </xf>
    <xf numFmtId="0" fontId="16" fillId="0" borderId="0" xfId="0" applyFont="1" applyAlignment="1">
      <alignment wrapText="1"/>
    </xf>
    <xf numFmtId="0" fontId="16" fillId="13" borderId="39" xfId="0" applyFont="1" applyFill="1" applyBorder="1" applyAlignment="1">
      <alignment horizontal="left" vertical="center" wrapText="1"/>
    </xf>
    <xf numFmtId="0" fontId="65" fillId="13" borderId="39" xfId="0" applyFont="1" applyFill="1" applyBorder="1" applyAlignment="1">
      <alignment horizontal="center" wrapText="1"/>
    </xf>
    <xf numFmtId="0" fontId="59" fillId="14" borderId="0" xfId="0" applyFont="1" applyFill="1" applyProtection="1">
      <protection locked="0"/>
    </xf>
    <xf numFmtId="0" fontId="59" fillId="14" borderId="0" xfId="0" applyFont="1" applyFill="1" applyProtection="1"/>
    <xf numFmtId="0" fontId="59" fillId="15" borderId="0" xfId="0" quotePrefix="1" applyFont="1" applyFill="1" applyProtection="1"/>
    <xf numFmtId="2" fontId="12" fillId="19" borderId="108" xfId="0" applyNumberFormat="1" applyFont="1" applyFill="1" applyBorder="1" applyAlignment="1" applyProtection="1">
      <alignment vertical="center" wrapText="1"/>
    </xf>
    <xf numFmtId="2" fontId="12" fillId="19" borderId="0" xfId="0" applyNumberFormat="1" applyFont="1" applyFill="1" applyBorder="1" applyAlignment="1" applyProtection="1">
      <alignment vertical="center" wrapText="1"/>
    </xf>
    <xf numFmtId="0" fontId="16" fillId="13" borderId="1" xfId="0" applyFont="1" applyFill="1" applyBorder="1" applyAlignment="1">
      <alignment horizontal="center" vertical="center" wrapText="1"/>
    </xf>
    <xf numFmtId="0" fontId="16" fillId="13" borderId="39" xfId="0" applyFont="1" applyFill="1" applyBorder="1" applyAlignment="1">
      <alignment horizontal="center" vertical="center" wrapText="1"/>
    </xf>
    <xf numFmtId="0" fontId="16" fillId="13" borderId="39" xfId="0" applyFont="1" applyFill="1" applyBorder="1" applyAlignment="1">
      <alignment horizontal="center" vertical="top" wrapText="1"/>
    </xf>
    <xf numFmtId="0" fontId="16" fillId="13" borderId="1" xfId="0" applyFont="1" applyFill="1" applyBorder="1" applyAlignment="1">
      <alignment horizontal="center" vertical="top" wrapText="1"/>
    </xf>
    <xf numFmtId="0" fontId="68" fillId="0" borderId="0" xfId="0" applyFont="1" applyFill="1" applyProtection="1"/>
    <xf numFmtId="0" fontId="11" fillId="0" borderId="14" xfId="0" applyFont="1" applyBorder="1" applyAlignment="1" applyProtection="1">
      <alignment horizontal="center" vertical="center"/>
    </xf>
    <xf numFmtId="0" fontId="11" fillId="0" borderId="0" xfId="0" applyFont="1" applyFill="1" applyAlignment="1" applyProtection="1">
      <alignment wrapText="1"/>
    </xf>
    <xf numFmtId="0" fontId="11" fillId="0" borderId="32" xfId="0" applyFont="1" applyBorder="1" applyAlignment="1">
      <alignment vertical="center"/>
    </xf>
    <xf numFmtId="0" fontId="11" fillId="0" borderId="0" xfId="0" applyFont="1" applyBorder="1" applyAlignment="1" applyProtection="1">
      <alignment horizontal="center" vertical="center"/>
      <protection hidden="1"/>
    </xf>
    <xf numFmtId="0" fontId="11" fillId="3" borderId="0" xfId="0" applyFont="1" applyFill="1" applyBorder="1" applyAlignment="1">
      <alignment horizontal="left" vertical="center" wrapText="1"/>
    </xf>
    <xf numFmtId="0" fontId="11" fillId="3" borderId="37" xfId="0" applyFont="1" applyFill="1" applyBorder="1" applyAlignment="1">
      <alignment horizontal="left" vertical="center" wrapText="1"/>
    </xf>
    <xf numFmtId="0" fontId="11" fillId="0" borderId="40" xfId="0" applyFont="1" applyBorder="1" applyAlignment="1">
      <alignment vertical="center"/>
    </xf>
    <xf numFmtId="0" fontId="11" fillId="3" borderId="0" xfId="0" applyFont="1" applyFill="1" applyBorder="1" applyAlignment="1">
      <alignment horizontal="left" vertical="center"/>
    </xf>
    <xf numFmtId="0" fontId="11" fillId="0" borderId="33" xfId="0" applyFont="1" applyBorder="1" applyAlignment="1">
      <alignment vertical="center"/>
    </xf>
    <xf numFmtId="0" fontId="11" fillId="3" borderId="35" xfId="0" applyFont="1" applyFill="1" applyBorder="1" applyAlignment="1">
      <alignment horizontal="left" vertical="center"/>
    </xf>
    <xf numFmtId="0" fontId="11" fillId="21" borderId="35" xfId="0" applyFont="1" applyFill="1" applyBorder="1" applyAlignment="1">
      <alignment vertical="center"/>
    </xf>
    <xf numFmtId="0" fontId="11" fillId="3" borderId="35" xfId="0" applyFont="1" applyFill="1" applyBorder="1" applyAlignment="1">
      <alignment horizontal="left" vertical="center" wrapText="1"/>
    </xf>
    <xf numFmtId="0" fontId="11" fillId="3" borderId="38" xfId="0" applyFont="1" applyFill="1" applyBorder="1" applyAlignment="1">
      <alignment horizontal="left" vertical="center" wrapText="1"/>
    </xf>
    <xf numFmtId="0" fontId="12" fillId="0" borderId="41" xfId="6" applyFont="1" applyFill="1" applyBorder="1" applyAlignment="1" applyProtection="1">
      <alignment horizontal="center" vertical="center" wrapText="1"/>
    </xf>
    <xf numFmtId="0" fontId="12" fillId="0" borderId="42" xfId="6" applyFont="1" applyBorder="1" applyAlignment="1" applyProtection="1">
      <alignment horizontal="center" vertical="center" wrapText="1"/>
    </xf>
    <xf numFmtId="0" fontId="12" fillId="0" borderId="43" xfId="6" applyFont="1" applyBorder="1" applyAlignment="1" applyProtection="1">
      <alignment horizontal="center" vertical="center" wrapText="1"/>
    </xf>
    <xf numFmtId="0" fontId="12" fillId="0" borderId="44" xfId="6" applyFont="1" applyBorder="1" applyAlignment="1" applyProtection="1">
      <alignment horizontal="center" vertical="center" wrapText="1"/>
    </xf>
    <xf numFmtId="0" fontId="12" fillId="0" borderId="41" xfId="6" applyFont="1" applyBorder="1" applyAlignment="1" applyProtection="1">
      <alignment horizontal="center" vertical="center" wrapText="1"/>
    </xf>
    <xf numFmtId="0" fontId="12" fillId="10" borderId="42" xfId="6" applyFont="1" applyFill="1" applyBorder="1" applyAlignment="1" applyProtection="1">
      <alignment horizontal="center" vertical="center" wrapText="1"/>
    </xf>
    <xf numFmtId="0" fontId="27" fillId="11" borderId="41" xfId="6" applyFont="1" applyFill="1" applyBorder="1" applyAlignment="1" applyProtection="1">
      <alignment horizontal="center" vertical="center" wrapText="1"/>
    </xf>
    <xf numFmtId="0" fontId="12" fillId="11" borderId="41" xfId="6" applyFont="1" applyFill="1" applyBorder="1" applyAlignment="1" applyProtection="1">
      <alignment horizontal="center" vertical="center" wrapText="1"/>
    </xf>
    <xf numFmtId="0" fontId="12" fillId="3" borderId="41" xfId="6" applyFont="1" applyFill="1" applyBorder="1" applyAlignment="1" applyProtection="1">
      <alignment horizontal="center" vertical="center" wrapText="1"/>
    </xf>
    <xf numFmtId="0" fontId="12" fillId="22" borderId="45" xfId="6" applyFont="1" applyFill="1" applyBorder="1" applyAlignment="1" applyProtection="1">
      <alignment horizontal="center" vertical="center" wrapText="1"/>
    </xf>
    <xf numFmtId="0" fontId="12" fillId="23" borderId="42" xfId="6" applyFont="1" applyFill="1" applyBorder="1" applyAlignment="1" applyProtection="1">
      <alignment horizontal="center" vertical="center" wrapText="1"/>
    </xf>
    <xf numFmtId="0" fontId="85" fillId="22" borderId="42" xfId="6" applyFont="1" applyFill="1" applyBorder="1" applyAlignment="1" applyProtection="1">
      <alignment horizontal="center" vertical="center" wrapText="1"/>
    </xf>
    <xf numFmtId="0" fontId="85" fillId="22" borderId="41" xfId="6" applyFont="1" applyFill="1" applyBorder="1" applyAlignment="1" applyProtection="1">
      <alignment horizontal="center" vertical="center" wrapText="1"/>
    </xf>
    <xf numFmtId="0" fontId="12" fillId="22" borderId="42" xfId="6" applyFont="1" applyFill="1" applyBorder="1" applyAlignment="1" applyProtection="1">
      <alignment horizontal="center" vertical="center" wrapText="1"/>
    </xf>
    <xf numFmtId="0" fontId="27" fillId="23" borderId="41" xfId="6" applyFont="1" applyFill="1" applyBorder="1" applyAlignment="1" applyProtection="1">
      <alignment horizontal="center" vertical="center" wrapText="1"/>
    </xf>
    <xf numFmtId="0" fontId="85" fillId="22" borderId="46" xfId="6" applyFont="1" applyFill="1" applyBorder="1" applyAlignment="1" applyProtection="1">
      <alignment horizontal="center" vertical="center" wrapText="1"/>
    </xf>
    <xf numFmtId="0" fontId="11" fillId="0" borderId="14" xfId="0" applyFont="1" applyFill="1" applyBorder="1" applyProtection="1"/>
    <xf numFmtId="0" fontId="11" fillId="0" borderId="42" xfId="0" applyFont="1" applyFill="1" applyBorder="1" applyProtection="1"/>
    <xf numFmtId="0" fontId="11" fillId="0" borderId="47" xfId="0" applyFont="1" applyFill="1" applyBorder="1" applyProtection="1"/>
    <xf numFmtId="1" fontId="11" fillId="0" borderId="0" xfId="0" applyNumberFormat="1" applyFont="1" applyFill="1" applyAlignment="1" applyProtection="1">
      <alignment wrapText="1"/>
    </xf>
    <xf numFmtId="0" fontId="11" fillId="0" borderId="0" xfId="0" applyFont="1" applyFill="1" applyBorder="1" applyAlignment="1" applyProtection="1">
      <alignment horizontal="center" vertical="center" wrapText="1"/>
    </xf>
    <xf numFmtId="0" fontId="99" fillId="0" borderId="0" xfId="0" applyFont="1" applyFill="1" applyAlignment="1" applyProtection="1">
      <alignment wrapText="1"/>
    </xf>
    <xf numFmtId="0" fontId="12" fillId="23" borderId="40" xfId="6" applyFont="1" applyFill="1" applyBorder="1" applyAlignment="1" applyProtection="1">
      <alignment horizontal="center" vertical="center" wrapText="1"/>
    </xf>
    <xf numFmtId="0" fontId="59" fillId="22" borderId="0" xfId="0" applyFont="1" applyFill="1" applyProtection="1"/>
    <xf numFmtId="1" fontId="59" fillId="22" borderId="0" xfId="0" applyNumberFormat="1" applyFont="1" applyFill="1" applyProtection="1"/>
    <xf numFmtId="0" fontId="60" fillId="22" borderId="0" xfId="0" applyFont="1" applyFill="1" applyBorder="1" applyAlignment="1" applyProtection="1">
      <alignment horizontal="right" vertical="center"/>
    </xf>
    <xf numFmtId="1" fontId="60" fillId="22" borderId="0" xfId="0" applyNumberFormat="1" applyFont="1" applyFill="1" applyBorder="1" applyAlignment="1" applyProtection="1">
      <alignment horizontal="right" vertical="center"/>
    </xf>
    <xf numFmtId="0" fontId="59" fillId="22" borderId="0" xfId="0" applyFont="1" applyFill="1" applyBorder="1" applyProtection="1"/>
    <xf numFmtId="0" fontId="59" fillId="22" borderId="0" xfId="0" quotePrefix="1" applyFont="1" applyFill="1" applyBorder="1" applyProtection="1"/>
    <xf numFmtId="0" fontId="68" fillId="22" borderId="0" xfId="0" applyFont="1" applyFill="1" applyAlignment="1" applyProtection="1">
      <alignment wrapText="1"/>
    </xf>
    <xf numFmtId="0" fontId="11" fillId="22" borderId="0" xfId="0" applyFont="1" applyFill="1" applyBorder="1" applyAlignment="1" applyProtection="1"/>
    <xf numFmtId="0" fontId="11" fillId="22" borderId="0" xfId="0" applyFont="1" applyFill="1" applyBorder="1" applyAlignment="1" applyProtection="1">
      <alignment wrapText="1"/>
    </xf>
    <xf numFmtId="0" fontId="11" fillId="13" borderId="48" xfId="0" applyFont="1" applyFill="1" applyBorder="1" applyAlignment="1" applyProtection="1"/>
    <xf numFmtId="0" fontId="68" fillId="13" borderId="28" xfId="0" applyFont="1" applyFill="1" applyBorder="1" applyProtection="1"/>
    <xf numFmtId="0" fontId="68" fillId="13" borderId="49" xfId="0" applyFont="1" applyFill="1" applyBorder="1" applyProtection="1"/>
    <xf numFmtId="0" fontId="68" fillId="13" borderId="27" xfId="0" applyFont="1" applyFill="1" applyBorder="1" applyProtection="1"/>
    <xf numFmtId="0" fontId="68" fillId="13" borderId="27" xfId="0" applyFont="1" applyFill="1" applyBorder="1" applyAlignment="1" applyProtection="1">
      <alignment wrapText="1"/>
    </xf>
    <xf numFmtId="0" fontId="5" fillId="22" borderId="0" xfId="0" applyFont="1" applyFill="1" applyProtection="1"/>
    <xf numFmtId="0" fontId="5" fillId="22" borderId="0" xfId="0" applyFont="1" applyFill="1" applyBorder="1" applyProtection="1"/>
    <xf numFmtId="0" fontId="6" fillId="22" borderId="0" xfId="0" applyFont="1" applyFill="1" applyProtection="1"/>
    <xf numFmtId="0" fontId="68" fillId="22" borderId="0" xfId="0" applyFont="1" applyFill="1"/>
    <xf numFmtId="0" fontId="16" fillId="22" borderId="0" xfId="0" applyFont="1" applyFill="1" applyAlignment="1">
      <alignment wrapText="1"/>
    </xf>
    <xf numFmtId="0" fontId="11" fillId="22" borderId="0" xfId="0" applyFont="1" applyFill="1"/>
    <xf numFmtId="0" fontId="11" fillId="22" borderId="0" xfId="0" applyFont="1" applyFill="1" applyAlignment="1">
      <alignment horizontal="left"/>
    </xf>
    <xf numFmtId="0" fontId="11" fillId="22" borderId="0" xfId="0" applyFont="1" applyFill="1" applyAlignment="1">
      <alignment horizontal="left" vertical="center"/>
    </xf>
    <xf numFmtId="0" fontId="68" fillId="22" borderId="0" xfId="0" applyFont="1" applyFill="1" applyAlignment="1"/>
    <xf numFmtId="0" fontId="68" fillId="22" borderId="0" xfId="0" applyFont="1" applyFill="1" applyAlignment="1">
      <alignment vertical="center"/>
    </xf>
    <xf numFmtId="0" fontId="11" fillId="22" borderId="0" xfId="0" applyFont="1" applyFill="1" applyAlignment="1"/>
    <xf numFmtId="0" fontId="68" fillId="13" borderId="28" xfId="0" applyFont="1" applyFill="1" applyBorder="1"/>
    <xf numFmtId="0" fontId="16" fillId="13" borderId="24" xfId="0" applyFont="1" applyFill="1" applyBorder="1" applyAlignment="1">
      <alignment wrapText="1"/>
    </xf>
    <xf numFmtId="0" fontId="11" fillId="13" borderId="24" xfId="0" applyFont="1" applyFill="1" applyBorder="1"/>
    <xf numFmtId="0" fontId="11" fillId="13" borderId="25" xfId="0" applyFont="1" applyFill="1" applyBorder="1"/>
    <xf numFmtId="0" fontId="68" fillId="13" borderId="27" xfId="0" applyFont="1" applyFill="1" applyBorder="1"/>
    <xf numFmtId="0" fontId="68" fillId="13" borderId="27" xfId="0" applyFont="1" applyFill="1" applyBorder="1" applyAlignment="1"/>
    <xf numFmtId="0" fontId="68" fillId="13" borderId="27" xfId="0" applyFont="1" applyFill="1" applyBorder="1" applyAlignment="1">
      <alignment vertical="center"/>
    </xf>
    <xf numFmtId="0" fontId="11" fillId="13" borderId="27" xfId="0" applyFont="1" applyFill="1" applyBorder="1" applyAlignment="1"/>
    <xf numFmtId="0" fontId="11" fillId="13" borderId="23" xfId="0" applyFont="1" applyFill="1" applyBorder="1" applyAlignment="1">
      <alignment vertical="center"/>
    </xf>
    <xf numFmtId="0" fontId="16" fillId="13" borderId="0" xfId="0" applyFont="1" applyFill="1" applyBorder="1" applyAlignment="1">
      <alignment horizontal="left" wrapText="1"/>
    </xf>
    <xf numFmtId="0" fontId="11" fillId="13" borderId="0" xfId="0" applyFont="1" applyFill="1" applyBorder="1" applyAlignment="1">
      <alignment horizontal="left" vertical="center"/>
    </xf>
    <xf numFmtId="0" fontId="11" fillId="13" borderId="0" xfId="0" applyFont="1" applyFill="1" applyBorder="1" applyAlignment="1">
      <alignment vertical="center"/>
    </xf>
    <xf numFmtId="0" fontId="16" fillId="13" borderId="0" xfId="0" applyFont="1" applyFill="1" applyBorder="1" applyAlignment="1">
      <alignment wrapText="1"/>
    </xf>
    <xf numFmtId="0" fontId="27" fillId="13" borderId="0" xfId="0" applyFont="1" applyFill="1" applyBorder="1" applyAlignment="1">
      <alignment horizontal="left" vertical="center" wrapText="1"/>
    </xf>
    <xf numFmtId="0" fontId="11" fillId="13" borderId="0" xfId="0" applyFont="1" applyFill="1" applyBorder="1" applyAlignment="1">
      <alignment vertical="center" wrapText="1"/>
    </xf>
    <xf numFmtId="0" fontId="16" fillId="13" borderId="0" xfId="0" applyFont="1" applyFill="1" applyBorder="1" applyAlignment="1">
      <alignment horizontal="left" vertical="center" wrapText="1"/>
    </xf>
    <xf numFmtId="0" fontId="16" fillId="13" borderId="0" xfId="0" applyFont="1" applyFill="1" applyBorder="1" applyAlignment="1">
      <alignment horizontal="left" vertical="center"/>
    </xf>
    <xf numFmtId="0" fontId="11" fillId="13" borderId="0" xfId="0" applyFont="1" applyFill="1" applyBorder="1" applyAlignment="1">
      <alignment horizontal="left" vertical="center" wrapText="1"/>
    </xf>
    <xf numFmtId="0" fontId="9" fillId="22" borderId="0" xfId="0" applyFont="1" applyFill="1"/>
    <xf numFmtId="0" fontId="5" fillId="22" borderId="0" xfId="0" applyFont="1" applyFill="1"/>
    <xf numFmtId="0" fontId="13" fillId="22" borderId="0" xfId="0" applyFont="1" applyFill="1"/>
    <xf numFmtId="0" fontId="5" fillId="22" borderId="0" xfId="0" applyFont="1" applyFill="1" applyBorder="1" applyAlignment="1"/>
    <xf numFmtId="0" fontId="5" fillId="22" borderId="0" xfId="0" applyFont="1" applyFill="1" applyBorder="1"/>
    <xf numFmtId="0" fontId="11" fillId="22" borderId="0" xfId="0" applyFont="1" applyFill="1" applyBorder="1" applyAlignment="1"/>
    <xf numFmtId="0" fontId="11" fillId="22" borderId="0" xfId="0" applyFont="1" applyFill="1" applyBorder="1"/>
    <xf numFmtId="0" fontId="11" fillId="21" borderId="106" xfId="0" applyFont="1" applyFill="1" applyBorder="1" applyAlignment="1" applyProtection="1">
      <alignment horizontal="center" vertical="center"/>
      <protection locked="0"/>
    </xf>
    <xf numFmtId="174" fontId="11" fillId="21" borderId="106" xfId="0" applyNumberFormat="1" applyFont="1" applyFill="1" applyBorder="1" applyAlignment="1" applyProtection="1">
      <alignment horizontal="center" vertical="center"/>
      <protection locked="0"/>
    </xf>
    <xf numFmtId="0" fontId="11" fillId="13" borderId="0" xfId="0" applyFont="1" applyFill="1" applyBorder="1" applyAlignment="1" applyProtection="1">
      <alignment horizontal="center" vertical="center"/>
    </xf>
    <xf numFmtId="0" fontId="95" fillId="13" borderId="6" xfId="4" applyFont="1" applyFill="1" applyBorder="1" applyAlignment="1" applyProtection="1">
      <alignment horizontal="center" vertical="center" wrapText="1" shrinkToFit="1"/>
    </xf>
    <xf numFmtId="0" fontId="95" fillId="13" borderId="0" xfId="0" applyFont="1" applyFill="1" applyBorder="1" applyAlignment="1" applyProtection="1">
      <alignment horizontal="center" vertical="center" wrapText="1"/>
    </xf>
    <xf numFmtId="0" fontId="95" fillId="13" borderId="0" xfId="0" applyFont="1" applyFill="1" applyBorder="1" applyAlignment="1" applyProtection="1">
      <alignment horizontal="center" vertical="center"/>
    </xf>
    <xf numFmtId="0" fontId="95" fillId="13" borderId="6" xfId="0" applyFont="1" applyFill="1" applyBorder="1" applyAlignment="1" applyProtection="1">
      <alignment horizontal="center" vertical="center"/>
    </xf>
    <xf numFmtId="0" fontId="95" fillId="13" borderId="0" xfId="0" applyFont="1" applyFill="1" applyBorder="1" applyAlignment="1" applyProtection="1">
      <alignment vertical="center" wrapText="1"/>
    </xf>
    <xf numFmtId="0" fontId="95" fillId="13" borderId="8" xfId="0" applyFont="1" applyFill="1" applyBorder="1" applyAlignment="1" applyProtection="1">
      <alignment vertical="center" wrapText="1"/>
    </xf>
    <xf numFmtId="168" fontId="95" fillId="13" borderId="8" xfId="0" applyNumberFormat="1" applyFont="1" applyFill="1" applyBorder="1" applyAlignment="1" applyProtection="1">
      <alignment vertical="center" wrapText="1"/>
    </xf>
    <xf numFmtId="0" fontId="17" fillId="22" borderId="42" xfId="6" applyFont="1" applyFill="1" applyBorder="1" applyAlignment="1" applyProtection="1">
      <alignment horizontal="center" vertical="center" wrapText="1"/>
    </xf>
    <xf numFmtId="0" fontId="12" fillId="0" borderId="41" xfId="6" applyFont="1" applyFill="1" applyBorder="1" applyAlignment="1" applyProtection="1">
      <alignment horizontal="right" vertical="center" wrapText="1"/>
    </xf>
    <xf numFmtId="0" fontId="12" fillId="0" borderId="41" xfId="6" applyFont="1" applyFill="1" applyBorder="1" applyAlignment="1" applyProtection="1">
      <alignment horizontal="right" wrapText="1"/>
    </xf>
    <xf numFmtId="0" fontId="83" fillId="21" borderId="32" xfId="0" applyFont="1" applyFill="1" applyBorder="1"/>
    <xf numFmtId="0" fontId="16" fillId="13" borderId="50" xfId="6" applyFont="1" applyFill="1" applyBorder="1" applyAlignment="1" applyProtection="1">
      <alignment vertical="center" wrapText="1"/>
    </xf>
    <xf numFmtId="0" fontId="11" fillId="13" borderId="0" xfId="0" applyFont="1" applyFill="1" applyBorder="1" applyAlignment="1" applyProtection="1">
      <alignment vertical="center" wrapText="1"/>
    </xf>
    <xf numFmtId="0" fontId="11" fillId="19" borderId="0" xfId="0" applyFont="1" applyFill="1" applyBorder="1" applyAlignment="1" applyProtection="1">
      <alignment horizontal="center" vertical="center"/>
    </xf>
    <xf numFmtId="0" fontId="50" fillId="13" borderId="0" xfId="0" applyFont="1" applyFill="1" applyBorder="1" applyAlignment="1" applyProtection="1">
      <alignment horizontal="center" vertical="center"/>
    </xf>
    <xf numFmtId="0" fontId="11" fillId="19" borderId="0" xfId="0" applyFont="1" applyFill="1" applyBorder="1" applyAlignment="1" applyProtection="1">
      <alignment horizontal="center"/>
    </xf>
    <xf numFmtId="0" fontId="11" fillId="19" borderId="0" xfId="0" applyFont="1" applyFill="1" applyBorder="1" applyAlignment="1" applyProtection="1"/>
    <xf numFmtId="0" fontId="11" fillId="19" borderId="0" xfId="0" applyFont="1" applyFill="1" applyBorder="1" applyAlignment="1" applyProtection="1">
      <alignment horizontal="center" wrapText="1"/>
    </xf>
    <xf numFmtId="4" fontId="63" fillId="13" borderId="0" xfId="0" applyNumberFormat="1" applyFont="1" applyFill="1" applyBorder="1" applyAlignment="1" applyProtection="1">
      <alignment horizontal="center" vertical="center"/>
      <protection hidden="1"/>
    </xf>
    <xf numFmtId="0" fontId="2" fillId="13" borderId="31" xfId="4" applyFill="1" applyBorder="1" applyAlignment="1" applyProtection="1">
      <alignment horizontal="right" vertical="center" wrapText="1"/>
    </xf>
    <xf numFmtId="0" fontId="2" fillId="13" borderId="51" xfId="4" applyFill="1" applyBorder="1" applyAlignment="1" applyProtection="1">
      <alignment horizontal="right" vertical="center" wrapText="1"/>
    </xf>
    <xf numFmtId="0" fontId="11" fillId="19" borderId="109" xfId="0" applyFont="1" applyFill="1" applyBorder="1" applyProtection="1"/>
    <xf numFmtId="0" fontId="11" fillId="19" borderId="110" xfId="0" applyFont="1" applyFill="1" applyBorder="1" applyProtection="1"/>
    <xf numFmtId="1" fontId="11" fillId="19" borderId="0" xfId="0" applyNumberFormat="1" applyFont="1" applyFill="1" applyBorder="1" applyAlignment="1" applyProtection="1">
      <alignment horizontal="center" wrapText="1"/>
    </xf>
    <xf numFmtId="0" fontId="16" fillId="19" borderId="0" xfId="0" applyFont="1" applyFill="1" applyBorder="1" applyAlignment="1" applyProtection="1">
      <alignment horizontal="center"/>
    </xf>
    <xf numFmtId="0" fontId="10" fillId="19" borderId="110" xfId="0" applyFont="1" applyFill="1" applyBorder="1" applyProtection="1"/>
    <xf numFmtId="0" fontId="23" fillId="19" borderId="0" xfId="0" applyFont="1" applyFill="1" applyBorder="1" applyProtection="1"/>
    <xf numFmtId="0" fontId="19" fillId="19" borderId="0" xfId="0" applyFont="1" applyFill="1" applyBorder="1" applyAlignment="1" applyProtection="1">
      <alignment horizontal="center" vertical="center"/>
      <protection hidden="1"/>
    </xf>
    <xf numFmtId="0" fontId="23" fillId="19" borderId="0" xfId="0" applyFont="1" applyFill="1" applyBorder="1" applyAlignment="1" applyProtection="1">
      <alignment horizontal="center" vertical="center"/>
    </xf>
    <xf numFmtId="0" fontId="50" fillId="13" borderId="109" xfId="0" applyFont="1" applyFill="1" applyBorder="1" applyProtection="1"/>
    <xf numFmtId="0" fontId="50" fillId="13" borderId="110" xfId="0" applyFont="1" applyFill="1" applyBorder="1" applyAlignment="1" applyProtection="1">
      <alignment vertical="center"/>
    </xf>
    <xf numFmtId="0" fontId="50" fillId="13" borderId="110" xfId="0" applyFont="1" applyFill="1" applyBorder="1" applyAlignment="1" applyProtection="1">
      <alignment horizontal="center"/>
    </xf>
    <xf numFmtId="0" fontId="50" fillId="13" borderId="110" xfId="0" applyFont="1" applyFill="1" applyBorder="1" applyProtection="1"/>
    <xf numFmtId="0" fontId="50" fillId="13" borderId="111" xfId="0" applyFont="1" applyFill="1" applyBorder="1" applyProtection="1"/>
    <xf numFmtId="2" fontId="55" fillId="13" borderId="112" xfId="4" applyNumberFormat="1" applyFont="1" applyFill="1" applyBorder="1" applyAlignment="1" applyProtection="1">
      <alignment horizontal="left"/>
    </xf>
    <xf numFmtId="0" fontId="48" fillId="13" borderId="112" xfId="0" applyFont="1" applyFill="1" applyBorder="1" applyProtection="1"/>
    <xf numFmtId="1" fontId="48" fillId="13" borderId="112" xfId="0" applyNumberFormat="1" applyFont="1" applyFill="1" applyBorder="1" applyProtection="1"/>
    <xf numFmtId="0" fontId="50" fillId="13" borderId="112" xfId="0" applyFont="1" applyFill="1" applyBorder="1" applyProtection="1"/>
    <xf numFmtId="0" fontId="50" fillId="13" borderId="113" xfId="0" applyFont="1" applyFill="1" applyBorder="1" applyProtection="1"/>
    <xf numFmtId="0" fontId="11" fillId="13" borderId="109" xfId="0" applyFont="1" applyFill="1" applyBorder="1" applyProtection="1"/>
    <xf numFmtId="0" fontId="11" fillId="13" borderId="110" xfId="0" applyFont="1" applyFill="1" applyBorder="1" applyProtection="1"/>
    <xf numFmtId="0" fontId="11" fillId="13" borderId="109" xfId="0" applyFont="1" applyFill="1" applyBorder="1" applyAlignment="1" applyProtection="1"/>
    <xf numFmtId="0" fontId="11" fillId="13" borderId="110" xfId="0" applyFont="1" applyFill="1" applyBorder="1" applyAlignment="1" applyProtection="1"/>
    <xf numFmtId="0" fontId="11" fillId="13" borderId="110" xfId="0" applyFont="1" applyFill="1" applyBorder="1" applyAlignment="1" applyProtection="1">
      <alignment wrapText="1"/>
    </xf>
    <xf numFmtId="0" fontId="11" fillId="13" borderId="109" xfId="0" applyFont="1" applyFill="1" applyBorder="1" applyAlignment="1" applyProtection="1">
      <alignment wrapText="1"/>
    </xf>
    <xf numFmtId="0" fontId="16" fillId="13" borderId="109" xfId="0" applyFont="1" applyFill="1" applyBorder="1" applyAlignment="1" applyProtection="1">
      <alignment horizontal="center" vertical="center"/>
    </xf>
    <xf numFmtId="0" fontId="11" fillId="13" borderId="109" xfId="0" applyFont="1" applyFill="1" applyBorder="1" applyAlignment="1" applyProtection="1">
      <alignment horizontal="left" vertical="center"/>
    </xf>
    <xf numFmtId="0" fontId="11" fillId="13" borderId="111" xfId="0" applyFont="1" applyFill="1" applyBorder="1" applyProtection="1"/>
    <xf numFmtId="0" fontId="11" fillId="13" borderId="112" xfId="0" applyFont="1" applyFill="1" applyBorder="1" applyProtection="1"/>
    <xf numFmtId="0" fontId="11" fillId="13" borderId="113" xfId="0" applyFont="1" applyFill="1" applyBorder="1" applyProtection="1"/>
    <xf numFmtId="0" fontId="59" fillId="13" borderId="109" xfId="0" applyFont="1" applyFill="1" applyBorder="1" applyProtection="1"/>
    <xf numFmtId="0" fontId="59" fillId="13" borderId="110" xfId="0" applyFont="1" applyFill="1" applyBorder="1" applyProtection="1"/>
    <xf numFmtId="0" fontId="59" fillId="13" borderId="111" xfId="0" applyFont="1" applyFill="1" applyBorder="1" applyProtection="1"/>
    <xf numFmtId="0" fontId="59" fillId="13" borderId="112" xfId="0" applyFont="1" applyFill="1" applyBorder="1" applyAlignment="1" applyProtection="1">
      <alignment horizontal="left"/>
    </xf>
    <xf numFmtId="0" fontId="60" fillId="13" borderId="112" xfId="0" applyFont="1" applyFill="1" applyBorder="1" applyAlignment="1" applyProtection="1">
      <alignment horizontal="right" vertical="center"/>
    </xf>
    <xf numFmtId="1" fontId="60" fillId="13" borderId="112" xfId="0" applyNumberFormat="1" applyFont="1" applyFill="1" applyBorder="1" applyAlignment="1" applyProtection="1">
      <alignment horizontal="right" vertical="center"/>
    </xf>
    <xf numFmtId="0" fontId="59" fillId="13" borderId="112" xfId="0" applyFont="1" applyFill="1" applyBorder="1" applyProtection="1"/>
    <xf numFmtId="0" fontId="59" fillId="13" borderId="112" xfId="0" quotePrefix="1" applyFont="1" applyFill="1" applyBorder="1" applyProtection="1"/>
    <xf numFmtId="0" fontId="59" fillId="13" borderId="113" xfId="0" applyFont="1" applyFill="1" applyBorder="1" applyProtection="1"/>
    <xf numFmtId="0" fontId="60" fillId="13" borderId="114" xfId="0" applyFont="1" applyFill="1" applyBorder="1" applyProtection="1"/>
    <xf numFmtId="1" fontId="60" fillId="13" borderId="115" xfId="0" applyNumberFormat="1" applyFont="1" applyFill="1" applyBorder="1" applyProtection="1"/>
    <xf numFmtId="0" fontId="60" fillId="13" borderId="115" xfId="0" applyFont="1" applyFill="1" applyBorder="1" applyProtection="1"/>
    <xf numFmtId="0" fontId="59" fillId="13" borderId="115" xfId="0" applyFont="1" applyFill="1" applyBorder="1" applyProtection="1"/>
    <xf numFmtId="0" fontId="59" fillId="13" borderId="116" xfId="0" applyFont="1" applyFill="1" applyBorder="1" applyProtection="1"/>
    <xf numFmtId="0" fontId="0" fillId="21" borderId="0" xfId="0" applyFill="1"/>
    <xf numFmtId="0" fontId="50" fillId="21" borderId="0" xfId="0" applyFont="1" applyFill="1" applyProtection="1"/>
    <xf numFmtId="0" fontId="56" fillId="21" borderId="0" xfId="0" applyFont="1" applyFill="1" applyBorder="1" applyAlignment="1">
      <alignment horizontal="center" vertical="center"/>
    </xf>
    <xf numFmtId="1" fontId="5" fillId="0" borderId="0" xfId="0" applyNumberFormat="1" applyFont="1" applyProtection="1"/>
    <xf numFmtId="1" fontId="0" fillId="0" borderId="0" xfId="0" applyNumberFormat="1" applyProtection="1">
      <protection hidden="1"/>
    </xf>
    <xf numFmtId="1" fontId="11" fillId="0" borderId="0" xfId="0" applyNumberFormat="1" applyFont="1" applyProtection="1"/>
    <xf numFmtId="1" fontId="11" fillId="14" borderId="0" xfId="0" applyNumberFormat="1" applyFont="1" applyFill="1" applyProtection="1"/>
    <xf numFmtId="1" fontId="11" fillId="14" borderId="6" xfId="0" applyNumberFormat="1" applyFont="1" applyFill="1" applyBorder="1" applyProtection="1"/>
    <xf numFmtId="1" fontId="11" fillId="0" borderId="6" xfId="0" applyNumberFormat="1" applyFont="1" applyBorder="1" applyProtection="1"/>
    <xf numFmtId="1" fontId="11" fillId="0" borderId="9" xfId="0" applyNumberFormat="1" applyFont="1" applyBorder="1" applyProtection="1"/>
    <xf numFmtId="170" fontId="0" fillId="0" borderId="0" xfId="0" applyNumberFormat="1" applyFill="1"/>
    <xf numFmtId="5" fontId="57" fillId="0" borderId="0" xfId="3" applyNumberFormat="1" applyFont="1" applyFill="1"/>
    <xf numFmtId="5" fontId="0" fillId="0" borderId="0" xfId="0" applyNumberFormat="1" applyFill="1"/>
    <xf numFmtId="0" fontId="11" fillId="0" borderId="0" xfId="0" applyFont="1" applyFill="1" applyAlignment="1" applyProtection="1"/>
    <xf numFmtId="1" fontId="12" fillId="3" borderId="106" xfId="0" applyNumberFormat="1" applyFont="1" applyFill="1" applyBorder="1" applyAlignment="1" applyProtection="1">
      <alignment horizontal="center" vertical="center"/>
      <protection locked="0"/>
    </xf>
    <xf numFmtId="1" fontId="12" fillId="3" borderId="107" xfId="0" applyNumberFormat="1" applyFont="1" applyFill="1" applyBorder="1" applyAlignment="1" applyProtection="1">
      <alignment horizontal="center" vertical="center"/>
      <protection locked="0"/>
    </xf>
    <xf numFmtId="1" fontId="100" fillId="21" borderId="117" xfId="0" applyNumberFormat="1" applyFont="1" applyFill="1" applyBorder="1" applyAlignment="1" applyProtection="1">
      <alignment horizontal="center" vertical="center"/>
      <protection locked="0"/>
    </xf>
    <xf numFmtId="0" fontId="12" fillId="12" borderId="41" xfId="6" applyFont="1" applyFill="1" applyBorder="1" applyAlignment="1" applyProtection="1">
      <alignment horizontal="center" vertical="center" wrapText="1"/>
    </xf>
    <xf numFmtId="0" fontId="11" fillId="19" borderId="0" xfId="0" applyFont="1" applyFill="1" applyBorder="1" applyAlignment="1" applyProtection="1">
      <alignment wrapText="1"/>
    </xf>
    <xf numFmtId="0" fontId="11" fillId="13" borderId="118" xfId="0" applyFont="1" applyFill="1" applyBorder="1" applyProtection="1"/>
    <xf numFmtId="0" fontId="72" fillId="13" borderId="118" xfId="4" quotePrefix="1" applyFont="1" applyFill="1" applyBorder="1" applyAlignment="1" applyProtection="1">
      <alignment horizontal="center" vertical="center" wrapText="1" shrinkToFit="1"/>
    </xf>
    <xf numFmtId="0" fontId="95" fillId="13" borderId="119" xfId="0" applyFont="1" applyFill="1" applyBorder="1" applyAlignment="1" applyProtection="1">
      <alignment horizontal="center" vertical="center" wrapText="1" shrinkToFit="1"/>
    </xf>
    <xf numFmtId="0" fontId="2" fillId="13" borderId="118" xfId="4" applyFont="1" applyFill="1" applyBorder="1" applyAlignment="1" applyProtection="1">
      <alignment horizontal="center" vertical="center" wrapText="1" shrinkToFit="1"/>
    </xf>
    <xf numFmtId="0" fontId="11" fillId="13" borderId="119" xfId="0" applyFont="1" applyFill="1" applyBorder="1" applyAlignment="1" applyProtection="1">
      <alignment horizontal="center" vertical="center" wrapText="1" shrinkToFit="1"/>
    </xf>
    <xf numFmtId="0" fontId="95" fillId="13" borderId="118" xfId="4" applyFont="1" applyFill="1" applyBorder="1" applyAlignment="1" applyProtection="1">
      <alignment horizontal="center" vertical="center" wrapText="1" shrinkToFit="1"/>
    </xf>
    <xf numFmtId="168" fontId="16" fillId="13" borderId="119" xfId="0" applyNumberFormat="1" applyFont="1" applyFill="1" applyBorder="1" applyAlignment="1" applyProtection="1">
      <alignment horizontal="center" vertical="center" wrapText="1" shrinkToFit="1"/>
    </xf>
    <xf numFmtId="0" fontId="11" fillId="13" borderId="120" xfId="0" applyFont="1" applyFill="1" applyBorder="1" applyAlignment="1" applyProtection="1">
      <alignment horizontal="center" vertical="center" wrapText="1" shrinkToFit="1"/>
    </xf>
    <xf numFmtId="168" fontId="71" fillId="13" borderId="118" xfId="1" quotePrefix="1" applyNumberFormat="1" applyFont="1" applyFill="1" applyBorder="1" applyAlignment="1" applyProtection="1">
      <alignment horizontal="center"/>
    </xf>
    <xf numFmtId="168" fontId="19" fillId="13" borderId="119" xfId="0" applyNumberFormat="1" applyFont="1" applyFill="1" applyBorder="1" applyAlignment="1" applyProtection="1">
      <alignment horizontal="center" vertical="center" wrapText="1" shrinkToFit="1"/>
    </xf>
    <xf numFmtId="0" fontId="39" fillId="13" borderId="118" xfId="4" applyFont="1" applyFill="1" applyBorder="1" applyAlignment="1" applyProtection="1">
      <alignment horizontal="center" vertical="center" wrapText="1" shrinkToFit="1"/>
    </xf>
    <xf numFmtId="0" fontId="95" fillId="13" borderId="121" xfId="4" applyFont="1" applyFill="1" applyBorder="1" applyAlignment="1" applyProtection="1">
      <alignment horizontal="center" vertical="center" wrapText="1" shrinkToFit="1"/>
    </xf>
    <xf numFmtId="0" fontId="2" fillId="13" borderId="122" xfId="4" applyFont="1" applyFill="1" applyBorder="1" applyAlignment="1" applyProtection="1">
      <alignment horizontal="center" vertical="center" wrapText="1" shrinkToFit="1"/>
    </xf>
    <xf numFmtId="0" fontId="2" fillId="13" borderId="123" xfId="4" applyFont="1" applyFill="1" applyBorder="1" applyAlignment="1" applyProtection="1">
      <alignment horizontal="center" vertical="center" wrapText="1" shrinkToFit="1"/>
    </xf>
    <xf numFmtId="0" fontId="39" fillId="13" borderId="124" xfId="0" applyFont="1" applyFill="1" applyBorder="1" applyProtection="1"/>
    <xf numFmtId="0" fontId="39" fillId="13" borderId="123" xfId="0" applyFont="1" applyFill="1" applyBorder="1" applyProtection="1"/>
    <xf numFmtId="0" fontId="74" fillId="13" borderId="123" xfId="0" applyFont="1" applyFill="1" applyBorder="1" applyAlignment="1" applyProtection="1">
      <alignment wrapText="1"/>
    </xf>
    <xf numFmtId="0" fontId="11" fillId="13" borderId="125" xfId="0" applyFont="1" applyFill="1" applyBorder="1" applyAlignment="1" applyProtection="1">
      <alignment horizontal="center" vertical="center" wrapText="1" shrinkToFit="1"/>
    </xf>
    <xf numFmtId="0" fontId="76" fillId="13" borderId="126" xfId="0" applyFont="1" applyFill="1" applyBorder="1" applyAlignment="1" applyProtection="1">
      <alignment horizontal="center" vertical="top" wrapText="1"/>
    </xf>
    <xf numFmtId="0" fontId="76" fillId="13" borderId="0" xfId="0" applyFont="1" applyFill="1" applyBorder="1" applyAlignment="1" applyProtection="1">
      <alignment horizontal="center" vertical="top" wrapText="1"/>
    </xf>
    <xf numFmtId="0" fontId="87" fillId="13" borderId="0" xfId="0" applyFont="1" applyFill="1" applyBorder="1" applyAlignment="1" applyProtection="1">
      <alignment horizontal="center"/>
    </xf>
    <xf numFmtId="0" fontId="87" fillId="13" borderId="127" xfId="0" applyFont="1" applyFill="1" applyBorder="1" applyAlignment="1" applyProtection="1">
      <alignment horizontal="center" wrapText="1"/>
    </xf>
    <xf numFmtId="0" fontId="76" fillId="13" borderId="128" xfId="0" applyFont="1" applyFill="1" applyBorder="1" applyAlignment="1" applyProtection="1">
      <alignment horizontal="center" vertical="top" wrapText="1"/>
    </xf>
    <xf numFmtId="0" fontId="76" fillId="13" borderId="124" xfId="0" applyFont="1" applyFill="1" applyBorder="1" applyAlignment="1" applyProtection="1">
      <alignment horizontal="center" vertical="top" wrapText="1"/>
    </xf>
    <xf numFmtId="0" fontId="87" fillId="13" borderId="124" xfId="0" applyFont="1" applyFill="1" applyBorder="1" applyAlignment="1" applyProtection="1">
      <alignment horizontal="center"/>
    </xf>
    <xf numFmtId="0" fontId="87" fillId="13" borderId="129" xfId="0" applyFont="1" applyFill="1" applyBorder="1" applyAlignment="1" applyProtection="1">
      <alignment horizontal="center" wrapText="1"/>
    </xf>
    <xf numFmtId="0" fontId="65" fillId="13" borderId="130" xfId="0" applyFont="1" applyFill="1" applyBorder="1" applyAlignment="1" applyProtection="1">
      <alignment horizontal="left" vertical="center" wrapText="1"/>
    </xf>
    <xf numFmtId="0" fontId="16" fillId="24" borderId="130" xfId="0" applyFont="1" applyFill="1" applyBorder="1" applyAlignment="1" applyProtection="1">
      <alignment horizontal="left" vertical="center" wrapText="1"/>
    </xf>
    <xf numFmtId="0" fontId="16" fillId="13" borderId="130" xfId="0" applyFont="1" applyFill="1" applyBorder="1" applyAlignment="1" applyProtection="1">
      <alignment vertical="center"/>
      <protection hidden="1"/>
    </xf>
    <xf numFmtId="0" fontId="59" fillId="13" borderId="0" xfId="0" applyFont="1" applyFill="1" applyBorder="1" applyAlignment="1" applyProtection="1">
      <alignment vertical="center"/>
    </xf>
    <xf numFmtId="0" fontId="0" fillId="13" borderId="0" xfId="0" applyFill="1" applyAlignment="1">
      <alignment vertical="center"/>
    </xf>
    <xf numFmtId="0" fontId="16" fillId="13" borderId="0" xfId="0" applyFont="1" applyFill="1" applyAlignment="1">
      <alignment vertical="center"/>
    </xf>
    <xf numFmtId="175" fontId="11" fillId="21" borderId="106" xfId="0" applyNumberFormat="1" applyFont="1" applyFill="1" applyBorder="1" applyAlignment="1" applyProtection="1">
      <alignment horizontal="left" vertical="center"/>
      <protection locked="0"/>
    </xf>
    <xf numFmtId="0" fontId="16" fillId="13" borderId="106" xfId="0" applyFont="1" applyFill="1" applyBorder="1" applyAlignment="1" applyProtection="1">
      <alignment horizontal="center" vertical="center"/>
      <protection hidden="1"/>
    </xf>
    <xf numFmtId="0" fontId="60" fillId="13" borderId="0" xfId="0" applyFont="1" applyFill="1" applyBorder="1" applyAlignment="1" applyProtection="1">
      <alignment horizontal="center"/>
      <protection hidden="1"/>
    </xf>
    <xf numFmtId="0" fontId="60" fillId="13" borderId="131" xfId="0" applyFont="1" applyFill="1" applyBorder="1" applyAlignment="1" applyProtection="1">
      <alignment horizontal="center" vertical="center"/>
      <protection hidden="1"/>
    </xf>
    <xf numFmtId="0" fontId="0" fillId="14" borderId="18" xfId="0" applyFill="1" applyBorder="1"/>
    <xf numFmtId="0" fontId="91" fillId="0" borderId="0" xfId="0" applyFont="1" applyFill="1" applyBorder="1" applyAlignment="1" applyProtection="1">
      <alignment horizontal="center" vertical="center"/>
      <protection locked="0"/>
    </xf>
    <xf numFmtId="166" fontId="59" fillId="15" borderId="0" xfId="0" applyNumberFormat="1" applyFont="1" applyFill="1" applyProtection="1"/>
    <xf numFmtId="0" fontId="11" fillId="13" borderId="0" xfId="0" applyFont="1" applyFill="1" applyBorder="1" applyAlignment="1" applyProtection="1">
      <alignment horizontal="left"/>
    </xf>
    <xf numFmtId="0" fontId="0" fillId="14" borderId="0" xfId="0" applyFill="1" applyProtection="1">
      <protection hidden="1"/>
    </xf>
    <xf numFmtId="0" fontId="79" fillId="21" borderId="34" xfId="0" quotePrefix="1" applyFont="1" applyFill="1" applyBorder="1" applyAlignment="1">
      <alignment horizontal="left" vertical="top" wrapText="1"/>
    </xf>
    <xf numFmtId="0" fontId="79" fillId="21" borderId="36" xfId="0" quotePrefix="1" applyFont="1" applyFill="1" applyBorder="1" applyAlignment="1">
      <alignment horizontal="left" vertical="top" wrapText="1"/>
    </xf>
    <xf numFmtId="0" fontId="11" fillId="0" borderId="0" xfId="0" quotePrefix="1" applyFont="1" applyFill="1" applyAlignment="1">
      <alignment horizontal="left"/>
    </xf>
    <xf numFmtId="0" fontId="11" fillId="0" borderId="9" xfId="0" applyFont="1" applyBorder="1" applyAlignment="1">
      <alignment horizontal="center" vertical="center" wrapText="1"/>
    </xf>
    <xf numFmtId="0" fontId="0" fillId="0" borderId="9" xfId="0" applyBorder="1" applyAlignment="1">
      <alignment horizontal="center" vertical="center"/>
    </xf>
    <xf numFmtId="0" fontId="65" fillId="21" borderId="7" xfId="0" quotePrefix="1" applyFont="1" applyFill="1" applyBorder="1" applyAlignment="1">
      <alignment horizontal="center" vertical="center" wrapText="1"/>
    </xf>
    <xf numFmtId="0" fontId="83" fillId="21" borderId="30" xfId="0" applyFont="1" applyFill="1" applyBorder="1" applyAlignment="1">
      <alignment vertical="center"/>
    </xf>
    <xf numFmtId="0" fontId="65" fillId="21" borderId="52" xfId="0" applyFont="1" applyFill="1" applyBorder="1" applyAlignment="1">
      <alignment horizontal="center" vertical="center"/>
    </xf>
    <xf numFmtId="0" fontId="0" fillId="0" borderId="31" xfId="0" applyBorder="1" applyAlignment="1">
      <alignment horizontal="center" vertical="center"/>
    </xf>
    <xf numFmtId="0" fontId="0" fillId="0" borderId="53" xfId="0" applyBorder="1" applyAlignment="1">
      <alignment horizontal="center" vertical="center"/>
    </xf>
    <xf numFmtId="0" fontId="0" fillId="0" borderId="54" xfId="0" applyBorder="1" applyAlignment="1">
      <alignment horizontal="center" vertical="center"/>
    </xf>
    <xf numFmtId="0" fontId="11" fillId="19" borderId="0" xfId="0" applyFont="1" applyFill="1" applyBorder="1" applyAlignment="1" applyProtection="1">
      <alignment horizontal="centerContinuous" wrapText="1"/>
    </xf>
    <xf numFmtId="0" fontId="11" fillId="19" borderId="110" xfId="0" applyFont="1" applyFill="1" applyBorder="1" applyAlignment="1" applyProtection="1">
      <alignment horizontal="left"/>
    </xf>
    <xf numFmtId="1" fontId="11" fillId="21" borderId="106" xfId="0" applyNumberFormat="1" applyFont="1" applyFill="1" applyBorder="1" applyAlignment="1" applyProtection="1">
      <alignment vertical="center"/>
      <protection locked="0"/>
    </xf>
    <xf numFmtId="1" fontId="11" fillId="21" borderId="132" xfId="0" applyNumberFormat="1" applyFont="1" applyFill="1" applyBorder="1" applyAlignment="1" applyProtection="1">
      <alignment vertical="center"/>
      <protection locked="0"/>
    </xf>
    <xf numFmtId="0" fontId="11" fillId="13" borderId="2" xfId="0" applyFont="1" applyFill="1" applyBorder="1" applyProtection="1"/>
    <xf numFmtId="0" fontId="72" fillId="13" borderId="2" xfId="4" quotePrefix="1" applyFont="1" applyFill="1" applyBorder="1" applyAlignment="1" applyProtection="1">
      <alignment horizontal="center" vertical="center" wrapText="1" shrinkToFit="1"/>
    </xf>
    <xf numFmtId="0" fontId="2" fillId="13" borderId="2" xfId="4" applyFont="1" applyFill="1" applyBorder="1" applyAlignment="1" applyProtection="1">
      <alignment horizontal="center" vertical="center" wrapText="1" shrinkToFit="1"/>
    </xf>
    <xf numFmtId="0" fontId="95" fillId="13" borderId="2" xfId="4" applyFont="1" applyFill="1" applyBorder="1" applyAlignment="1" applyProtection="1">
      <alignment horizontal="center" vertical="center" wrapText="1" shrinkToFit="1"/>
    </xf>
    <xf numFmtId="0" fontId="95" fillId="13" borderId="2" xfId="4" applyFont="1" applyFill="1" applyBorder="1" applyAlignment="1" applyProtection="1">
      <alignment horizontal="center" vertical="center" wrapText="1"/>
    </xf>
    <xf numFmtId="168" fontId="71" fillId="13" borderId="2" xfId="1" quotePrefix="1" applyNumberFormat="1" applyFont="1" applyFill="1" applyBorder="1" applyAlignment="1" applyProtection="1">
      <alignment horizontal="center"/>
    </xf>
    <xf numFmtId="0" fontId="2" fillId="13" borderId="133" xfId="4" applyFont="1" applyFill="1" applyBorder="1" applyAlignment="1" applyProtection="1">
      <alignment horizontal="center" vertical="center" wrapText="1" shrinkToFit="1"/>
    </xf>
    <xf numFmtId="0" fontId="39" fillId="13" borderId="6" xfId="4" applyFont="1" applyFill="1" applyBorder="1" applyAlignment="1" applyProtection="1">
      <alignment horizontal="center" vertical="center" wrapText="1" shrinkToFit="1"/>
    </xf>
    <xf numFmtId="0" fontId="95" fillId="13" borderId="134" xfId="0" applyFont="1" applyFill="1" applyBorder="1" applyAlignment="1" applyProtection="1">
      <alignment vertical="center" wrapText="1"/>
    </xf>
    <xf numFmtId="0" fontId="11" fillId="13" borderId="135" xfId="0" applyFont="1" applyFill="1" applyBorder="1" applyProtection="1"/>
    <xf numFmtId="0" fontId="70" fillId="13" borderId="136" xfId="0" applyFont="1" applyFill="1" applyBorder="1" applyProtection="1"/>
    <xf numFmtId="0" fontId="95" fillId="13" borderId="137" xfId="0" applyFont="1" applyFill="1" applyBorder="1" applyAlignment="1" applyProtection="1">
      <alignment horizontal="center" vertical="center"/>
    </xf>
    <xf numFmtId="168" fontId="71" fillId="13" borderId="55" xfId="0" quotePrefix="1" applyNumberFormat="1" applyFont="1" applyFill="1" applyBorder="1" applyAlignment="1" applyProtection="1">
      <alignment horizontal="center" vertical="center"/>
    </xf>
    <xf numFmtId="0" fontId="11" fillId="13" borderId="56" xfId="0" applyFont="1" applyFill="1" applyBorder="1" applyProtection="1"/>
    <xf numFmtId="0" fontId="70" fillId="13" borderId="56" xfId="0" applyFont="1" applyFill="1" applyBorder="1" applyProtection="1"/>
    <xf numFmtId="168" fontId="16" fillId="13" borderId="138" xfId="0" applyNumberFormat="1" applyFont="1" applyFill="1" applyBorder="1" applyAlignment="1" applyProtection="1">
      <alignment horizontal="center" vertical="center"/>
    </xf>
    <xf numFmtId="0" fontId="95" fillId="13" borderId="0" xfId="0" applyFont="1" applyFill="1" applyBorder="1" applyAlignment="1" applyProtection="1">
      <alignment wrapText="1"/>
    </xf>
    <xf numFmtId="170" fontId="0" fillId="14" borderId="0" xfId="0" applyNumberFormat="1" applyFill="1"/>
    <xf numFmtId="5" fontId="57" fillId="14" borderId="0" xfId="3" applyNumberFormat="1" applyFont="1" applyFill="1"/>
    <xf numFmtId="0" fontId="0" fillId="0" borderId="0" xfId="0" quotePrefix="1" applyFill="1"/>
    <xf numFmtId="5" fontId="0" fillId="0" borderId="0" xfId="0" applyNumberFormat="1" applyProtection="1">
      <protection hidden="1"/>
    </xf>
    <xf numFmtId="0" fontId="0" fillId="21" borderId="57" xfId="0" applyFill="1" applyBorder="1" applyAlignment="1" applyProtection="1">
      <alignment horizontal="left" vertical="center" wrapText="1"/>
      <protection locked="0"/>
    </xf>
    <xf numFmtId="0" fontId="0" fillId="21" borderId="58" xfId="0" applyFill="1" applyBorder="1" applyAlignment="1" applyProtection="1">
      <alignment horizontal="left" vertical="center" wrapText="1"/>
      <protection locked="0"/>
    </xf>
    <xf numFmtId="0" fontId="16" fillId="13" borderId="59" xfId="0" applyFont="1" applyFill="1" applyBorder="1" applyAlignment="1">
      <alignment horizontal="center" vertical="center"/>
    </xf>
    <xf numFmtId="0" fontId="56" fillId="21" borderId="60" xfId="0" applyFont="1" applyFill="1" applyBorder="1" applyAlignment="1" applyProtection="1">
      <alignment horizontal="left" vertical="top" wrapText="1"/>
      <protection locked="0"/>
    </xf>
    <xf numFmtId="0" fontId="11" fillId="21" borderId="57" xfId="0" applyFont="1" applyFill="1" applyBorder="1" applyAlignment="1" applyProtection="1">
      <alignment horizontal="left" vertical="center" wrapText="1"/>
      <protection locked="0"/>
    </xf>
    <xf numFmtId="0" fontId="0" fillId="21" borderId="9" xfId="0" applyFill="1" applyBorder="1" applyAlignment="1" applyProtection="1">
      <alignment vertical="center" wrapText="1"/>
      <protection locked="0"/>
    </xf>
    <xf numFmtId="0" fontId="0" fillId="21" borderId="57" xfId="0" applyFill="1" applyBorder="1" applyAlignment="1" applyProtection="1">
      <alignment vertical="center" wrapText="1"/>
      <protection locked="0"/>
    </xf>
    <xf numFmtId="0" fontId="11" fillId="13" borderId="0" xfId="0" applyFont="1" applyFill="1" applyBorder="1" applyAlignment="1" applyProtection="1">
      <alignment vertical="center" wrapText="1"/>
    </xf>
    <xf numFmtId="0" fontId="11" fillId="13" borderId="0" xfId="0" applyFont="1" applyFill="1" applyBorder="1" applyAlignment="1" applyProtection="1">
      <alignment horizontal="center" wrapText="1"/>
    </xf>
    <xf numFmtId="0" fontId="11" fillId="21" borderId="132" xfId="0" applyFont="1" applyFill="1" applyBorder="1" applyAlignment="1" applyProtection="1">
      <alignment horizontal="left" vertical="center"/>
      <protection locked="0"/>
    </xf>
    <xf numFmtId="0" fontId="11" fillId="21" borderId="142" xfId="0" applyFont="1" applyFill="1" applyBorder="1" applyAlignment="1" applyProtection="1">
      <alignment horizontal="left" vertical="center"/>
      <protection locked="0"/>
    </xf>
    <xf numFmtId="0" fontId="11" fillId="21" borderId="143" xfId="0" applyFont="1" applyFill="1" applyBorder="1" applyAlignment="1" applyProtection="1">
      <alignment horizontal="left" vertical="center"/>
      <protection locked="0"/>
    </xf>
    <xf numFmtId="0" fontId="11" fillId="21" borderId="132" xfId="0" applyFont="1" applyFill="1" applyBorder="1" applyAlignment="1" applyProtection="1">
      <alignment horizontal="left" vertical="center" shrinkToFit="1"/>
      <protection locked="0"/>
    </xf>
    <xf numFmtId="0" fontId="11" fillId="21" borderId="142" xfId="0" applyFont="1" applyFill="1" applyBorder="1" applyAlignment="1" applyProtection="1">
      <alignment horizontal="left" vertical="center" shrinkToFit="1"/>
      <protection locked="0"/>
    </xf>
    <xf numFmtId="0" fontId="11" fillId="21" borderId="143" xfId="0" applyFont="1" applyFill="1" applyBorder="1" applyAlignment="1" applyProtection="1">
      <alignment horizontal="left" vertical="center" shrinkToFit="1"/>
      <protection locked="0"/>
    </xf>
    <xf numFmtId="0" fontId="45" fillId="13" borderId="0" xfId="0" applyFont="1" applyFill="1" applyBorder="1" applyAlignment="1" applyProtection="1">
      <alignment horizontal="center" vertical="center"/>
    </xf>
    <xf numFmtId="0" fontId="11" fillId="21" borderId="132" xfId="0" applyFont="1" applyFill="1" applyBorder="1" applyAlignment="1" applyProtection="1">
      <alignment horizontal="left" vertical="center" wrapText="1"/>
      <protection locked="0"/>
    </xf>
    <xf numFmtId="0" fontId="11" fillId="21" borderId="142" xfId="0" applyFont="1" applyFill="1" applyBorder="1" applyAlignment="1" applyProtection="1">
      <alignment horizontal="left" vertical="center" wrapText="1"/>
      <protection locked="0"/>
    </xf>
    <xf numFmtId="0" fontId="11" fillId="21" borderId="143" xfId="0" applyFont="1" applyFill="1" applyBorder="1" applyAlignment="1" applyProtection="1">
      <alignment horizontal="left" vertical="center" wrapText="1"/>
      <protection locked="0"/>
    </xf>
    <xf numFmtId="0" fontId="69" fillId="25" borderId="139" xfId="0" quotePrefix="1" applyFont="1" applyFill="1" applyBorder="1" applyAlignment="1" applyProtection="1">
      <alignment horizontal="center" vertical="top" wrapText="1"/>
    </xf>
    <xf numFmtId="0" fontId="69" fillId="25" borderId="140" xfId="0" applyFont="1" applyFill="1" applyBorder="1" applyAlignment="1" applyProtection="1">
      <alignment horizontal="center" vertical="top" wrapText="1"/>
    </xf>
    <xf numFmtId="0" fontId="69" fillId="25" borderId="141" xfId="0" applyFont="1" applyFill="1" applyBorder="1" applyAlignment="1" applyProtection="1">
      <alignment horizontal="center" vertical="top" wrapText="1"/>
    </xf>
    <xf numFmtId="0" fontId="16" fillId="13" borderId="0" xfId="0" applyFont="1" applyFill="1" applyBorder="1" applyAlignment="1" applyProtection="1">
      <alignment vertical="center" wrapText="1"/>
    </xf>
    <xf numFmtId="0" fontId="11" fillId="13" borderId="0" xfId="0" applyFont="1" applyFill="1" applyBorder="1" applyAlignment="1" applyProtection="1">
      <alignment horizontal="center" vertical="center" wrapText="1"/>
    </xf>
    <xf numFmtId="49" fontId="11" fillId="21" borderId="132" xfId="0" applyNumberFormat="1" applyFont="1" applyFill="1" applyBorder="1" applyAlignment="1" applyProtection="1">
      <alignment horizontal="left" vertical="center"/>
      <protection locked="0"/>
    </xf>
    <xf numFmtId="49" fontId="11" fillId="21" borderId="143" xfId="0" applyNumberFormat="1" applyFont="1" applyFill="1" applyBorder="1" applyAlignment="1" applyProtection="1">
      <alignment horizontal="left" vertical="center"/>
      <protection locked="0"/>
    </xf>
    <xf numFmtId="168" fontId="11" fillId="3" borderId="132" xfId="0" applyNumberFormat="1" applyFont="1" applyFill="1" applyBorder="1" applyAlignment="1" applyProtection="1">
      <alignment horizontal="left"/>
      <protection locked="0"/>
    </xf>
    <xf numFmtId="168" fontId="11" fillId="3" borderId="143" xfId="0" applyNumberFormat="1" applyFont="1" applyFill="1" applyBorder="1" applyAlignment="1" applyProtection="1">
      <alignment horizontal="left"/>
      <protection locked="0"/>
    </xf>
    <xf numFmtId="168" fontId="11" fillId="0" borderId="143" xfId="0" applyNumberFormat="1" applyFont="1" applyBorder="1" applyProtection="1">
      <protection locked="0"/>
    </xf>
    <xf numFmtId="0" fontId="50" fillId="13" borderId="0" xfId="0" applyFont="1" applyFill="1" applyBorder="1" applyAlignment="1">
      <alignment vertical="center" wrapText="1"/>
    </xf>
    <xf numFmtId="0" fontId="11" fillId="19" borderId="0" xfId="0" applyFont="1" applyFill="1" applyBorder="1" applyAlignment="1" applyProtection="1">
      <alignment horizontal="center" vertical="center"/>
    </xf>
    <xf numFmtId="0" fontId="23" fillId="19" borderId="0" xfId="0" applyFont="1" applyFill="1" applyBorder="1" applyAlignment="1" applyProtection="1">
      <alignment horizontal="center"/>
    </xf>
    <xf numFmtId="166" fontId="11" fillId="3" borderId="132" xfId="0" applyNumberFormat="1" applyFont="1" applyFill="1" applyBorder="1" applyAlignment="1" applyProtection="1">
      <alignment wrapText="1"/>
      <protection locked="0"/>
    </xf>
    <xf numFmtId="166" fontId="11" fillId="3" borderId="142" xfId="0" applyNumberFormat="1" applyFont="1" applyFill="1" applyBorder="1" applyAlignment="1" applyProtection="1">
      <alignment wrapText="1"/>
      <protection locked="0"/>
    </xf>
    <xf numFmtId="0" fontId="11" fillId="0" borderId="142" xfId="0" applyFont="1" applyBorder="1" applyAlignment="1" applyProtection="1">
      <alignment wrapText="1"/>
      <protection locked="0"/>
    </xf>
    <xf numFmtId="0" fontId="11" fillId="0" borderId="143" xfId="0" applyFont="1" applyBorder="1" applyAlignment="1" applyProtection="1">
      <alignment wrapText="1"/>
      <protection locked="0"/>
    </xf>
    <xf numFmtId="0" fontId="95" fillId="19" borderId="0" xfId="0" quotePrefix="1" applyFont="1" applyFill="1" applyBorder="1" applyAlignment="1" applyProtection="1">
      <alignment horizontal="center" vertical="center"/>
    </xf>
    <xf numFmtId="0" fontId="95" fillId="19" borderId="0" xfId="0" applyFont="1" applyFill="1" applyBorder="1" applyAlignment="1" applyProtection="1">
      <alignment horizontal="center" vertical="center"/>
    </xf>
    <xf numFmtId="2" fontId="23" fillId="19" borderId="0" xfId="0" applyNumberFormat="1" applyFont="1" applyFill="1" applyBorder="1" applyAlignment="1" applyProtection="1">
      <alignment horizontal="center" vertical="center"/>
      <protection hidden="1"/>
    </xf>
    <xf numFmtId="1" fontId="66" fillId="13" borderId="61" xfId="0" applyNumberFormat="1" applyFont="1" applyFill="1" applyBorder="1" applyAlignment="1" applyProtection="1">
      <alignment horizontal="center" vertical="center"/>
    </xf>
    <xf numFmtId="1" fontId="66" fillId="13" borderId="62" xfId="0" applyNumberFormat="1" applyFont="1" applyFill="1" applyBorder="1" applyAlignment="1" applyProtection="1">
      <alignment horizontal="center" vertical="center"/>
    </xf>
    <xf numFmtId="1" fontId="66" fillId="13" borderId="63" xfId="0" applyNumberFormat="1" applyFont="1" applyFill="1" applyBorder="1" applyAlignment="1" applyProtection="1">
      <alignment horizontal="center" vertical="center"/>
    </xf>
    <xf numFmtId="0" fontId="50" fillId="13" borderId="0" xfId="0" applyFont="1" applyFill="1" applyBorder="1" applyAlignment="1" applyProtection="1">
      <alignment horizontal="center" vertical="center"/>
    </xf>
    <xf numFmtId="0" fontId="54" fillId="13" borderId="0" xfId="0" applyFont="1" applyFill="1" applyBorder="1" applyAlignment="1" applyProtection="1">
      <alignment horizontal="left" vertical="top" wrapText="1"/>
    </xf>
    <xf numFmtId="0" fontId="50" fillId="13" borderId="0" xfId="0" applyFont="1" applyFill="1" applyBorder="1" applyAlignment="1" applyProtection="1">
      <alignment horizontal="left" vertical="top" wrapText="1"/>
    </xf>
    <xf numFmtId="0" fontId="11" fillId="19" borderId="0" xfId="0" applyFont="1" applyFill="1" applyBorder="1" applyAlignment="1" applyProtection="1">
      <alignment horizontal="center"/>
    </xf>
    <xf numFmtId="0" fontId="11" fillId="19" borderId="0" xfId="0" applyFont="1" applyFill="1" applyBorder="1" applyAlignment="1" applyProtection="1">
      <alignment horizontal="right" wrapText="1"/>
    </xf>
    <xf numFmtId="168" fontId="11" fillId="3" borderId="144" xfId="0" applyNumberFormat="1" applyFont="1" applyFill="1" applyBorder="1" applyAlignment="1" applyProtection="1">
      <alignment horizontal="left"/>
      <protection locked="0"/>
    </xf>
    <xf numFmtId="168" fontId="11" fillId="3" borderId="145" xfId="0" applyNumberFormat="1" applyFont="1" applyFill="1" applyBorder="1" applyAlignment="1" applyProtection="1">
      <alignment horizontal="left"/>
      <protection locked="0"/>
    </xf>
    <xf numFmtId="0" fontId="19" fillId="19" borderId="0" xfId="0" applyFont="1" applyFill="1" applyBorder="1" applyAlignment="1" applyProtection="1">
      <alignment horizontal="center"/>
      <protection hidden="1"/>
    </xf>
    <xf numFmtId="0" fontId="14" fillId="25" borderId="139" xfId="0" applyFont="1" applyFill="1" applyBorder="1" applyAlignment="1" applyProtection="1">
      <alignment horizontal="center" vertical="center" wrapText="1"/>
    </xf>
    <xf numFmtId="0" fontId="14" fillId="25" borderId="140" xfId="0" applyFont="1" applyFill="1" applyBorder="1" applyAlignment="1" applyProtection="1">
      <alignment horizontal="center" vertical="center" wrapText="1"/>
    </xf>
    <xf numFmtId="0" fontId="14" fillId="25" borderId="141" xfId="0" applyFont="1" applyFill="1" applyBorder="1" applyAlignment="1" applyProtection="1">
      <alignment horizontal="center" vertical="center" wrapText="1"/>
    </xf>
    <xf numFmtId="0" fontId="11" fillId="19" borderId="0" xfId="0" applyFont="1" applyFill="1" applyBorder="1" applyAlignment="1" applyProtection="1"/>
    <xf numFmtId="0" fontId="11" fillId="19" borderId="0" xfId="0" applyFont="1" applyFill="1" applyBorder="1" applyAlignment="1" applyProtection="1">
      <alignment horizontal="center" wrapText="1"/>
    </xf>
    <xf numFmtId="0" fontId="16" fillId="19" borderId="132" xfId="0" applyFont="1" applyFill="1" applyBorder="1" applyAlignment="1" applyProtection="1">
      <alignment horizontal="center"/>
      <protection hidden="1"/>
    </xf>
    <xf numFmtId="0" fontId="16" fillId="19" borderId="143" xfId="0" applyFont="1" applyFill="1" applyBorder="1" applyAlignment="1" applyProtection="1">
      <alignment horizontal="center"/>
      <protection hidden="1"/>
    </xf>
    <xf numFmtId="0" fontId="42" fillId="19" borderId="132" xfId="0" applyFont="1" applyFill="1" applyBorder="1" applyAlignment="1" applyProtection="1">
      <alignment horizontal="center"/>
      <protection hidden="1"/>
    </xf>
    <xf numFmtId="0" fontId="42" fillId="19" borderId="143" xfId="0" applyFont="1" applyFill="1" applyBorder="1" applyAlignment="1" applyProtection="1">
      <alignment horizontal="center"/>
      <protection hidden="1"/>
    </xf>
    <xf numFmtId="0" fontId="16" fillId="19" borderId="132" xfId="0" applyFont="1" applyFill="1" applyBorder="1" applyAlignment="1" applyProtection="1">
      <alignment horizontal="left"/>
    </xf>
    <xf numFmtId="0" fontId="16" fillId="19" borderId="142" xfId="0" applyFont="1" applyFill="1" applyBorder="1" applyAlignment="1" applyProtection="1">
      <alignment horizontal="left"/>
    </xf>
    <xf numFmtId="0" fontId="16" fillId="19" borderId="143" xfId="0" applyFont="1" applyFill="1" applyBorder="1" applyAlignment="1" applyProtection="1">
      <alignment horizontal="left"/>
    </xf>
    <xf numFmtId="0" fontId="23" fillId="19" borderId="0" xfId="0" applyFont="1" applyFill="1" applyBorder="1" applyAlignment="1" applyProtection="1">
      <alignment horizontal="center" vertical="center"/>
      <protection hidden="1"/>
    </xf>
    <xf numFmtId="0" fontId="11" fillId="19" borderId="0" xfId="0" quotePrefix="1" applyFont="1" applyFill="1" applyBorder="1" applyAlignment="1" applyProtection="1">
      <alignment horizontal="center" vertical="center"/>
    </xf>
    <xf numFmtId="0" fontId="101" fillId="13" borderId="0" xfId="0" applyFont="1" applyFill="1" applyBorder="1" applyAlignment="1" applyProtection="1">
      <alignment horizontal="center"/>
    </xf>
    <xf numFmtId="4" fontId="63" fillId="13" borderId="0" xfId="0" applyNumberFormat="1" applyFont="1" applyFill="1" applyBorder="1" applyAlignment="1" applyProtection="1">
      <alignment horizontal="center" vertical="center"/>
      <protection hidden="1"/>
    </xf>
    <xf numFmtId="0" fontId="59" fillId="13" borderId="0" xfId="0" applyFont="1" applyFill="1" applyBorder="1" applyAlignment="1" applyProtection="1">
      <alignment vertical="center"/>
      <protection hidden="1"/>
    </xf>
    <xf numFmtId="0" fontId="59" fillId="13" borderId="0" xfId="0" applyFont="1" applyFill="1" applyBorder="1" applyAlignment="1" applyProtection="1">
      <alignment horizontal="right" vertical="center"/>
    </xf>
    <xf numFmtId="0" fontId="60" fillId="13" borderId="114" xfId="0" applyFont="1" applyFill="1" applyBorder="1" applyAlignment="1" applyProtection="1">
      <alignment horizontal="center"/>
      <protection hidden="1"/>
    </xf>
    <xf numFmtId="0" fontId="60" fillId="13" borderId="116" xfId="0" applyFont="1" applyFill="1" applyBorder="1" applyAlignment="1" applyProtection="1">
      <alignment horizontal="center"/>
      <protection hidden="1"/>
    </xf>
    <xf numFmtId="0" fontId="67" fillId="13" borderId="0" xfId="0" applyFont="1" applyFill="1" applyBorder="1" applyAlignment="1" applyProtection="1">
      <alignment horizontal="left" vertical="top"/>
    </xf>
    <xf numFmtId="0" fontId="67" fillId="13" borderId="110" xfId="0" applyFont="1" applyFill="1" applyBorder="1" applyAlignment="1" applyProtection="1">
      <alignment horizontal="left" vertical="top"/>
    </xf>
    <xf numFmtId="0" fontId="14" fillId="25" borderId="39" xfId="0" applyFont="1" applyFill="1" applyBorder="1" applyAlignment="1" applyProtection="1">
      <alignment horizontal="center" vertical="center" wrapText="1"/>
    </xf>
    <xf numFmtId="0" fontId="14" fillId="25" borderId="64" xfId="0" applyFont="1" applyFill="1" applyBorder="1" applyAlignment="1" applyProtection="1">
      <alignment horizontal="center" vertical="center" wrapText="1"/>
    </xf>
    <xf numFmtId="0" fontId="56" fillId="21" borderId="0" xfId="0" applyFont="1" applyFill="1" applyBorder="1" applyAlignment="1">
      <alignment horizontal="center" vertical="center"/>
    </xf>
    <xf numFmtId="0" fontId="76" fillId="25" borderId="146" xfId="0" applyFont="1" applyFill="1" applyBorder="1" applyAlignment="1" applyProtection="1">
      <alignment horizontal="center" vertical="top" wrapText="1"/>
    </xf>
    <xf numFmtId="0" fontId="76" fillId="25" borderId="136" xfId="0" applyFont="1" applyFill="1" applyBorder="1" applyAlignment="1" applyProtection="1">
      <alignment horizontal="center" vertical="top" wrapText="1"/>
    </xf>
    <xf numFmtId="0" fontId="76" fillId="25" borderId="147" xfId="0" applyFont="1" applyFill="1" applyBorder="1" applyAlignment="1" applyProtection="1">
      <alignment horizontal="center" vertical="top" wrapText="1"/>
    </xf>
    <xf numFmtId="0" fontId="76" fillId="25" borderId="126" xfId="0" applyFont="1" applyFill="1" applyBorder="1" applyAlignment="1" applyProtection="1">
      <alignment horizontal="center" vertical="top" wrapText="1"/>
    </xf>
    <xf numFmtId="0" fontId="76" fillId="25" borderId="0" xfId="0" applyFont="1" applyFill="1" applyBorder="1" applyAlignment="1" applyProtection="1">
      <alignment horizontal="center" vertical="top" wrapText="1"/>
    </xf>
    <xf numFmtId="0" fontId="76" fillId="25" borderId="148" xfId="0" applyFont="1" applyFill="1" applyBorder="1" applyAlignment="1" applyProtection="1">
      <alignment horizontal="center" vertical="top" wrapText="1"/>
    </xf>
    <xf numFmtId="0" fontId="95" fillId="13" borderId="149" xfId="0" applyFont="1" applyFill="1" applyBorder="1" applyAlignment="1" applyProtection="1">
      <alignment horizontal="center" vertical="center" wrapText="1"/>
    </xf>
    <xf numFmtId="0" fontId="95" fillId="13" borderId="119" xfId="0" applyFont="1" applyFill="1" applyBorder="1" applyAlignment="1">
      <alignment horizontal="center" vertical="center" wrapText="1"/>
    </xf>
    <xf numFmtId="0" fontId="95" fillId="13" borderId="6" xfId="0" applyFont="1" applyFill="1" applyBorder="1" applyAlignment="1" applyProtection="1">
      <alignment horizontal="center" vertical="center" wrapText="1"/>
    </xf>
    <xf numFmtId="0" fontId="95" fillId="13" borderId="6" xfId="0" applyFont="1" applyFill="1" applyBorder="1" applyAlignment="1">
      <alignment horizontal="center" vertical="center" wrapText="1"/>
    </xf>
    <xf numFmtId="0" fontId="95" fillId="13" borderId="8" xfId="0" applyFont="1" applyFill="1" applyBorder="1" applyAlignment="1" applyProtection="1">
      <alignment horizontal="center" vertical="center" wrapText="1"/>
    </xf>
    <xf numFmtId="0" fontId="95" fillId="13" borderId="118" xfId="4" applyFont="1" applyFill="1" applyBorder="1" applyAlignment="1" applyProtection="1">
      <alignment horizontal="center" vertical="center" wrapText="1"/>
    </xf>
    <xf numFmtId="0" fontId="95" fillId="13" borderId="150" xfId="0" applyFont="1" applyFill="1" applyBorder="1" applyAlignment="1" applyProtection="1">
      <alignment horizontal="left" vertical="center"/>
    </xf>
    <xf numFmtId="0" fontId="95" fillId="13" borderId="65" xfId="0" applyFont="1" applyFill="1" applyBorder="1" applyAlignment="1" applyProtection="1">
      <alignment horizontal="left" vertical="center"/>
    </xf>
    <xf numFmtId="0" fontId="16" fillId="13" borderId="151" xfId="0" applyFont="1" applyFill="1" applyBorder="1" applyAlignment="1" applyProtection="1">
      <alignment horizontal="left" vertical="center"/>
    </xf>
    <xf numFmtId="0" fontId="16" fillId="13" borderId="152" xfId="0" applyFont="1" applyFill="1" applyBorder="1" applyAlignment="1" applyProtection="1">
      <alignment horizontal="left" vertical="center"/>
    </xf>
    <xf numFmtId="0" fontId="14" fillId="25" borderId="153" xfId="0" applyFont="1" applyFill="1" applyBorder="1" applyAlignment="1" applyProtection="1">
      <alignment horizontal="center" vertical="center" wrapText="1"/>
    </xf>
    <xf numFmtId="0" fontId="14" fillId="25" borderId="154" xfId="0" applyFont="1" applyFill="1" applyBorder="1" applyAlignment="1" applyProtection="1">
      <alignment horizontal="center" vertical="center" wrapText="1"/>
    </xf>
    <xf numFmtId="0" fontId="14" fillId="25" borderId="155" xfId="0" applyFont="1" applyFill="1" applyBorder="1" applyAlignment="1" applyProtection="1">
      <alignment horizontal="center" vertical="center" wrapText="1"/>
    </xf>
    <xf numFmtId="0" fontId="16" fillId="13" borderId="132" xfId="0" applyFont="1" applyFill="1" applyBorder="1" applyAlignment="1" applyProtection="1">
      <alignment horizontal="center" vertical="center"/>
      <protection hidden="1"/>
    </xf>
    <xf numFmtId="0" fontId="16" fillId="13" borderId="143" xfId="0" applyFont="1" applyFill="1" applyBorder="1" applyAlignment="1" applyProtection="1">
      <alignment horizontal="center" vertical="center"/>
      <protection hidden="1"/>
    </xf>
    <xf numFmtId="0" fontId="16" fillId="13" borderId="144" xfId="0" applyFont="1" applyFill="1" applyBorder="1" applyAlignment="1" applyProtection="1">
      <alignment horizontal="left" vertical="center"/>
    </xf>
    <xf numFmtId="0" fontId="16" fillId="13" borderId="108" xfId="0" applyFont="1" applyFill="1" applyBorder="1" applyAlignment="1" applyProtection="1">
      <alignment horizontal="left" vertical="center"/>
    </xf>
    <xf numFmtId="0" fontId="16" fillId="13" borderId="142" xfId="0" applyFont="1" applyFill="1" applyBorder="1" applyAlignment="1" applyProtection="1">
      <alignment horizontal="left" vertical="center"/>
    </xf>
    <xf numFmtId="0" fontId="16" fillId="13" borderId="143" xfId="0" applyFont="1" applyFill="1" applyBorder="1" applyAlignment="1" applyProtection="1">
      <alignment horizontal="left" vertical="center"/>
    </xf>
    <xf numFmtId="0" fontId="85" fillId="22" borderId="46" xfId="6" applyFont="1" applyFill="1" applyBorder="1" applyAlignment="1" applyProtection="1">
      <alignment horizontal="center" vertical="center" wrapText="1"/>
    </xf>
    <xf numFmtId="0" fontId="85" fillId="22" borderId="66" xfId="6" applyFont="1" applyFill="1" applyBorder="1" applyAlignment="1" applyProtection="1">
      <alignment horizontal="center" vertical="center" wrapText="1"/>
    </xf>
    <xf numFmtId="0" fontId="76" fillId="25" borderId="49" xfId="0" applyFont="1" applyFill="1" applyBorder="1" applyAlignment="1" applyProtection="1">
      <alignment horizontal="center" vertical="top" wrapText="1"/>
    </xf>
    <xf numFmtId="0" fontId="76" fillId="25" borderId="72" xfId="0" applyFont="1" applyFill="1" applyBorder="1" applyAlignment="1" applyProtection="1">
      <alignment horizontal="center" vertical="top" wrapText="1"/>
    </xf>
    <xf numFmtId="0" fontId="76" fillId="25" borderId="27" xfId="0" applyFont="1" applyFill="1" applyBorder="1" applyAlignment="1" applyProtection="1">
      <alignment horizontal="center" vertical="top" wrapText="1"/>
    </xf>
    <xf numFmtId="0" fontId="11" fillId="3" borderId="34" xfId="0" applyFont="1" applyFill="1" applyBorder="1" applyAlignment="1" applyProtection="1">
      <alignment horizontal="center" vertical="center" wrapText="1"/>
    </xf>
    <xf numFmtId="0" fontId="11" fillId="3" borderId="73" xfId="0" applyFont="1" applyFill="1" applyBorder="1" applyAlignment="1" applyProtection="1">
      <alignment horizontal="center" vertical="center" wrapText="1"/>
    </xf>
    <xf numFmtId="0" fontId="16" fillId="13" borderId="74" xfId="0" applyFont="1" applyFill="1" applyBorder="1" applyAlignment="1" applyProtection="1">
      <alignment horizontal="center" vertical="center" wrapText="1"/>
    </xf>
    <xf numFmtId="0" fontId="16" fillId="13" borderId="75" xfId="0" applyFont="1" applyFill="1" applyBorder="1" applyAlignment="1" applyProtection="1">
      <alignment horizontal="center" vertical="center" wrapText="1"/>
    </xf>
    <xf numFmtId="0" fontId="16" fillId="13" borderId="76" xfId="0" applyFont="1" applyFill="1" applyBorder="1" applyAlignment="1" applyProtection="1">
      <alignment horizontal="center" vertical="center" wrapText="1"/>
    </xf>
    <xf numFmtId="0" fontId="12" fillId="22" borderId="66" xfId="6" applyFont="1" applyFill="1" applyBorder="1" applyAlignment="1" applyProtection="1">
      <alignment horizontal="center" vertical="center" wrapText="1"/>
    </xf>
    <xf numFmtId="0" fontId="16" fillId="13" borderId="67" xfId="6" applyFont="1" applyFill="1" applyBorder="1" applyAlignment="1" applyProtection="1">
      <alignment horizontal="center" vertical="center" wrapText="1"/>
    </xf>
    <xf numFmtId="0" fontId="16" fillId="13" borderId="68" xfId="6" applyFont="1" applyFill="1" applyBorder="1" applyAlignment="1" applyProtection="1">
      <alignment horizontal="center" vertical="center" wrapText="1"/>
    </xf>
    <xf numFmtId="0" fontId="93" fillId="22" borderId="66" xfId="6" applyFill="1" applyBorder="1" applyAlignment="1" applyProtection="1">
      <alignment horizontal="center" vertical="center"/>
    </xf>
    <xf numFmtId="0" fontId="16" fillId="13" borderId="50" xfId="6" applyFont="1" applyFill="1" applyBorder="1" applyAlignment="1" applyProtection="1">
      <alignment horizontal="center" vertical="center" wrapText="1"/>
    </xf>
    <xf numFmtId="0" fontId="12" fillId="12" borderId="69" xfId="6" applyFont="1" applyFill="1" applyBorder="1" applyAlignment="1" applyProtection="1">
      <alignment horizontal="center" vertical="center" wrapText="1"/>
    </xf>
    <xf numFmtId="0" fontId="12" fillId="12" borderId="41" xfId="6" applyFont="1" applyFill="1" applyBorder="1" applyAlignment="1" applyProtection="1">
      <alignment horizontal="center" vertical="center" wrapText="1"/>
    </xf>
    <xf numFmtId="0" fontId="85" fillId="22" borderId="70" xfId="6" applyFont="1" applyFill="1" applyBorder="1" applyAlignment="1" applyProtection="1">
      <alignment horizontal="center" vertical="center" wrapText="1"/>
    </xf>
    <xf numFmtId="0" fontId="85" fillId="22" borderId="71" xfId="6" applyFont="1" applyFill="1" applyBorder="1" applyAlignment="1" applyProtection="1">
      <alignment horizontal="center" vertical="center" wrapText="1"/>
    </xf>
    <xf numFmtId="0" fontId="12" fillId="3" borderId="46" xfId="6" applyFont="1" applyFill="1" applyBorder="1" applyAlignment="1" applyProtection="1">
      <alignment horizontal="center" vertical="center" wrapText="1"/>
    </xf>
    <xf numFmtId="0" fontId="11" fillId="3" borderId="10" xfId="6" applyFont="1" applyFill="1" applyBorder="1" applyAlignment="1" applyProtection="1">
      <alignment horizontal="center" vertical="center" wrapText="1"/>
    </xf>
    <xf numFmtId="0" fontId="11" fillId="3" borderId="66" xfId="6" applyFont="1" applyFill="1" applyBorder="1" applyAlignment="1" applyProtection="1">
      <alignment horizontal="center" vertical="center" wrapText="1"/>
    </xf>
    <xf numFmtId="0" fontId="88" fillId="22" borderId="46" xfId="6" applyFont="1" applyFill="1" applyBorder="1" applyAlignment="1" applyProtection="1">
      <alignment horizontal="center" vertical="center" wrapText="1"/>
    </xf>
    <xf numFmtId="0" fontId="88" fillId="22" borderId="66" xfId="6" applyFont="1" applyFill="1" applyBorder="1" applyAlignment="1" applyProtection="1">
      <alignment horizontal="center" vertical="center" wrapText="1"/>
    </xf>
    <xf numFmtId="0" fontId="85" fillId="0" borderId="69" xfId="6" applyFont="1" applyBorder="1" applyAlignment="1" applyProtection="1">
      <alignment horizontal="center" vertical="center" wrapText="1"/>
    </xf>
    <xf numFmtId="0" fontId="85" fillId="0" borderId="41" xfId="6" applyFont="1" applyBorder="1" applyAlignment="1" applyProtection="1">
      <alignment horizontal="center" vertical="center" wrapText="1"/>
    </xf>
    <xf numFmtId="0" fontId="12" fillId="0" borderId="14" xfId="6" applyFont="1" applyFill="1" applyBorder="1" applyAlignment="1" applyProtection="1">
      <alignment horizontal="center" vertical="center" wrapText="1"/>
    </xf>
    <xf numFmtId="0" fontId="12" fillId="0" borderId="41" xfId="6" applyFont="1" applyFill="1" applyBorder="1" applyAlignment="1" applyProtection="1">
      <alignment horizontal="center" vertical="center" wrapText="1"/>
    </xf>
    <xf numFmtId="0" fontId="14" fillId="25" borderId="146" xfId="0" applyFont="1" applyFill="1" applyBorder="1" applyAlignment="1" applyProtection="1">
      <alignment horizontal="center" vertical="center" wrapText="1"/>
    </xf>
    <xf numFmtId="0" fontId="14" fillId="25" borderId="136" xfId="0" applyFont="1" applyFill="1" applyBorder="1" applyAlignment="1" applyProtection="1">
      <alignment horizontal="center" vertical="center" wrapText="1"/>
    </xf>
    <xf numFmtId="0" fontId="14" fillId="25" borderId="147" xfId="0" applyFont="1" applyFill="1" applyBorder="1" applyAlignment="1" applyProtection="1">
      <alignment horizontal="center" vertical="center" wrapText="1"/>
    </xf>
    <xf numFmtId="0" fontId="14" fillId="25" borderId="128" xfId="0" applyFont="1" applyFill="1" applyBorder="1" applyAlignment="1" applyProtection="1">
      <alignment horizontal="center" vertical="center" wrapText="1"/>
    </xf>
    <xf numFmtId="0" fontId="14" fillId="25" borderId="124" xfId="0" applyFont="1" applyFill="1" applyBorder="1" applyAlignment="1" applyProtection="1">
      <alignment horizontal="center" vertical="center" wrapText="1"/>
    </xf>
    <xf numFmtId="0" fontId="14" fillId="25" borderId="156" xfId="0" applyFont="1" applyFill="1" applyBorder="1" applyAlignment="1" applyProtection="1">
      <alignment horizontal="center" vertical="center" wrapText="1"/>
    </xf>
    <xf numFmtId="0" fontId="14" fillId="25" borderId="27" xfId="0" applyFont="1" applyFill="1" applyBorder="1" applyAlignment="1" applyProtection="1">
      <alignment horizontal="center" vertical="center" wrapText="1"/>
    </xf>
    <xf numFmtId="0" fontId="14" fillId="25" borderId="0" xfId="0" applyFont="1" applyFill="1" applyBorder="1" applyAlignment="1" applyProtection="1">
      <alignment horizontal="center" vertical="center" wrapText="1"/>
    </xf>
    <xf numFmtId="0" fontId="14" fillId="25" borderId="23" xfId="0" applyFont="1" applyFill="1" applyBorder="1" applyAlignment="1" applyProtection="1">
      <alignment horizontal="center" vertical="center" wrapText="1"/>
    </xf>
    <xf numFmtId="0" fontId="16" fillId="0" borderId="39" xfId="0" applyFont="1" applyBorder="1" applyAlignment="1">
      <alignment horizontal="center" wrapText="1"/>
    </xf>
    <xf numFmtId="0" fontId="16" fillId="0" borderId="77" xfId="0" applyFont="1" applyBorder="1" applyAlignment="1">
      <alignment horizontal="center" wrapText="1"/>
    </xf>
    <xf numFmtId="0" fontId="16" fillId="0" borderId="64" xfId="0" applyFont="1" applyBorder="1" applyAlignment="1">
      <alignment horizontal="center" wrapText="1"/>
    </xf>
    <xf numFmtId="0" fontId="11" fillId="3" borderId="39" xfId="0" quotePrefix="1" applyFont="1" applyFill="1" applyBorder="1" applyAlignment="1">
      <alignment horizontal="left" vertical="center" wrapText="1"/>
    </xf>
    <xf numFmtId="0" fontId="11" fillId="3" borderId="77" xfId="0" quotePrefix="1" applyFont="1" applyFill="1" applyBorder="1" applyAlignment="1">
      <alignment horizontal="left" vertical="center" wrapText="1"/>
    </xf>
    <xf numFmtId="0" fontId="11" fillId="3" borderId="64" xfId="0" quotePrefix="1" applyFont="1" applyFill="1" applyBorder="1" applyAlignment="1">
      <alignment horizontal="left" vertical="center" wrapText="1"/>
    </xf>
    <xf numFmtId="0" fontId="11" fillId="3" borderId="39" xfId="0" applyFont="1" applyFill="1" applyBorder="1" applyAlignment="1">
      <alignment horizontal="left" vertical="center" wrapText="1"/>
    </xf>
    <xf numFmtId="0" fontId="11" fillId="3" borderId="77" xfId="0" applyFont="1" applyFill="1" applyBorder="1" applyAlignment="1">
      <alignment horizontal="left" vertical="center"/>
    </xf>
    <xf numFmtId="0" fontId="11" fillId="3" borderId="64" xfId="0" applyFont="1" applyFill="1" applyBorder="1" applyAlignment="1">
      <alignment horizontal="left" vertical="center"/>
    </xf>
    <xf numFmtId="0" fontId="11" fillId="0" borderId="39" xfId="0" applyFont="1" applyFill="1" applyBorder="1" applyAlignment="1">
      <alignment horizontal="left" vertical="center" wrapText="1"/>
    </xf>
    <xf numFmtId="0" fontId="11" fillId="0" borderId="77" xfId="0" applyFont="1" applyFill="1" applyBorder="1" applyAlignment="1">
      <alignment horizontal="left" vertical="center" wrapText="1"/>
    </xf>
    <xf numFmtId="0" fontId="11" fillId="0" borderId="64" xfId="0" applyFont="1" applyFill="1" applyBorder="1" applyAlignment="1">
      <alignment horizontal="left" vertical="center" wrapText="1"/>
    </xf>
    <xf numFmtId="0" fontId="11" fillId="0" borderId="39" xfId="0" quotePrefix="1" applyFont="1" applyFill="1" applyBorder="1" applyAlignment="1">
      <alignment horizontal="left" vertical="center" wrapText="1"/>
    </xf>
    <xf numFmtId="0" fontId="11" fillId="0" borderId="77" xfId="0" quotePrefix="1" applyFont="1" applyFill="1" applyBorder="1" applyAlignment="1">
      <alignment horizontal="left" vertical="center" wrapText="1"/>
    </xf>
    <xf numFmtId="0" fontId="11" fillId="0" borderId="64" xfId="0" quotePrefix="1" applyFont="1" applyFill="1" applyBorder="1" applyAlignment="1">
      <alignment horizontal="left" vertical="center" wrapText="1"/>
    </xf>
    <xf numFmtId="0" fontId="11" fillId="3" borderId="77" xfId="0" applyFont="1" applyFill="1" applyBorder="1" applyAlignment="1">
      <alignment horizontal="left" vertical="center" wrapText="1"/>
    </xf>
    <xf numFmtId="0" fontId="11" fillId="3" borderId="64" xfId="0" applyFont="1" applyFill="1" applyBorder="1" applyAlignment="1">
      <alignment horizontal="left" vertical="center" wrapText="1"/>
    </xf>
    <xf numFmtId="0" fontId="11" fillId="0" borderId="39" xfId="0" quotePrefix="1" applyFont="1" applyBorder="1" applyAlignment="1">
      <alignment horizontal="left" vertical="center" wrapText="1"/>
    </xf>
    <xf numFmtId="0" fontId="11" fillId="0" borderId="77" xfId="0" applyFont="1" applyBorder="1" applyAlignment="1">
      <alignment horizontal="left" vertical="center" wrapText="1"/>
    </xf>
    <xf numFmtId="0" fontId="11" fillId="0" borderId="64" xfId="0" applyFont="1" applyBorder="1" applyAlignment="1">
      <alignment horizontal="left" vertical="center" wrapText="1"/>
    </xf>
    <xf numFmtId="0" fontId="11" fillId="0" borderId="39" xfId="0" applyFont="1" applyBorder="1" applyAlignment="1">
      <alignment horizontal="left" vertical="center" wrapText="1"/>
    </xf>
    <xf numFmtId="0" fontId="11" fillId="0" borderId="77" xfId="0" quotePrefix="1" applyFont="1" applyBorder="1" applyAlignment="1">
      <alignment horizontal="left" vertical="center" wrapText="1"/>
    </xf>
    <xf numFmtId="0" fontId="11" fillId="0" borderId="64" xfId="0" quotePrefix="1" applyFont="1" applyBorder="1" applyAlignment="1">
      <alignment horizontal="left" vertical="center" wrapText="1"/>
    </xf>
    <xf numFmtId="0" fontId="16" fillId="13" borderId="14" xfId="0" applyFont="1" applyFill="1" applyBorder="1" applyAlignment="1">
      <alignment horizontal="center" vertical="center" wrapText="1"/>
    </xf>
    <xf numFmtId="0" fontId="16" fillId="13" borderId="47" xfId="0" applyFont="1" applyFill="1" applyBorder="1" applyAlignment="1">
      <alignment horizontal="center" vertical="center" wrapText="1"/>
    </xf>
    <xf numFmtId="0" fontId="11" fillId="0" borderId="30" xfId="0" applyFont="1" applyFill="1" applyBorder="1" applyAlignment="1">
      <alignment horizontal="left" vertical="center" wrapText="1"/>
    </xf>
    <xf numFmtId="0" fontId="11" fillId="0" borderId="34" xfId="0" applyFont="1" applyFill="1" applyBorder="1" applyAlignment="1">
      <alignment horizontal="left" vertical="center" wrapText="1"/>
    </xf>
    <xf numFmtId="0" fontId="11" fillId="0" borderId="36" xfId="0" applyFont="1" applyFill="1" applyBorder="1" applyAlignment="1">
      <alignment horizontal="left" vertical="center" wrapText="1"/>
    </xf>
    <xf numFmtId="0" fontId="11" fillId="0" borderId="33" xfId="0" applyFont="1" applyFill="1" applyBorder="1" applyAlignment="1">
      <alignment horizontal="left" vertical="center" wrapText="1"/>
    </xf>
    <xf numFmtId="0" fontId="11" fillId="0" borderId="35" xfId="0" applyFont="1" applyFill="1" applyBorder="1" applyAlignment="1">
      <alignment horizontal="left" vertical="center" wrapText="1"/>
    </xf>
    <xf numFmtId="0" fontId="11" fillId="0" borderId="38" xfId="0" applyFont="1" applyFill="1" applyBorder="1" applyAlignment="1">
      <alignment horizontal="left" vertical="center" wrapText="1"/>
    </xf>
    <xf numFmtId="0" fontId="11" fillId="3" borderId="30" xfId="0" applyFont="1" applyFill="1" applyBorder="1" applyAlignment="1">
      <alignment horizontal="left" vertical="center" wrapText="1"/>
    </xf>
    <xf numFmtId="0" fontId="11" fillId="3" borderId="34" xfId="0" applyFont="1" applyFill="1" applyBorder="1" applyAlignment="1">
      <alignment horizontal="left" vertical="center" wrapText="1"/>
    </xf>
    <xf numFmtId="0" fontId="11" fillId="3" borderId="36" xfId="0" applyFont="1" applyFill="1" applyBorder="1" applyAlignment="1">
      <alignment horizontal="left" vertical="center" wrapText="1"/>
    </xf>
    <xf numFmtId="0" fontId="11" fillId="0" borderId="0" xfId="0" applyFont="1" applyBorder="1" applyAlignment="1" applyProtection="1">
      <alignment horizontal="center" vertical="center"/>
      <protection hidden="1"/>
    </xf>
    <xf numFmtId="0" fontId="16" fillId="13" borderId="40" xfId="0" applyFont="1" applyFill="1" applyBorder="1" applyAlignment="1">
      <alignment horizontal="center" vertical="center" wrapText="1"/>
    </xf>
    <xf numFmtId="0" fontId="11" fillId="3" borderId="0" xfId="0" applyFont="1" applyFill="1" applyBorder="1" applyAlignment="1">
      <alignment horizontal="center" vertical="center"/>
    </xf>
    <xf numFmtId="0" fontId="16" fillId="0" borderId="18" xfId="0" applyFont="1" applyBorder="1" applyAlignment="1" applyProtection="1">
      <alignment horizontal="center" vertical="center"/>
      <protection hidden="1"/>
    </xf>
    <xf numFmtId="0" fontId="16" fillId="3" borderId="46" xfId="0" applyFont="1" applyFill="1" applyBorder="1" applyAlignment="1" applyProtection="1">
      <alignment horizontal="center" vertical="center"/>
      <protection locked="0" hidden="1"/>
    </xf>
    <xf numFmtId="0" fontId="16" fillId="3" borderId="5" xfId="0" applyFont="1" applyFill="1" applyBorder="1" applyAlignment="1" applyProtection="1">
      <alignment horizontal="center" vertical="center"/>
      <protection locked="0" hidden="1"/>
    </xf>
    <xf numFmtId="0" fontId="84" fillId="3" borderId="39" xfId="0" applyFont="1" applyFill="1" applyBorder="1" applyAlignment="1">
      <alignment horizontal="center" vertical="center"/>
    </xf>
    <xf numFmtId="0" fontId="84" fillId="3" borderId="77" xfId="0" applyFont="1" applyFill="1" applyBorder="1" applyAlignment="1">
      <alignment horizontal="center" vertical="center"/>
    </xf>
    <xf numFmtId="0" fontId="84" fillId="3" borderId="64" xfId="0" applyFont="1" applyFill="1" applyBorder="1" applyAlignment="1">
      <alignment horizontal="center" vertical="center"/>
    </xf>
    <xf numFmtId="0" fontId="60" fillId="13" borderId="114" xfId="0" applyFont="1" applyFill="1" applyBorder="1" applyAlignment="1" applyProtection="1">
      <alignment horizontal="left" vertical="center"/>
    </xf>
    <xf numFmtId="0" fontId="60" fillId="13" borderId="115" xfId="0" applyFont="1" applyFill="1" applyBorder="1" applyAlignment="1" applyProtection="1">
      <alignment horizontal="left" vertical="center"/>
    </xf>
    <xf numFmtId="0" fontId="60" fillId="13" borderId="116" xfId="0" applyFont="1" applyFill="1" applyBorder="1" applyAlignment="1" applyProtection="1">
      <alignment horizontal="left" vertical="center"/>
    </xf>
    <xf numFmtId="0" fontId="60" fillId="13" borderId="157" xfId="0" applyFont="1" applyFill="1" applyBorder="1" applyAlignment="1" applyProtection="1">
      <alignment horizontal="center" vertical="center"/>
      <protection hidden="1"/>
    </xf>
    <xf numFmtId="0" fontId="60" fillId="13" borderId="158" xfId="0" applyFont="1" applyFill="1" applyBorder="1" applyAlignment="1" applyProtection="1">
      <alignment horizontal="center" vertical="center"/>
      <protection hidden="1"/>
    </xf>
    <xf numFmtId="0" fontId="26" fillId="0" borderId="99" xfId="0" applyFont="1" applyBorder="1" applyAlignment="1">
      <alignment horizontal="center" vertical="center"/>
    </xf>
    <xf numFmtId="0" fontId="26" fillId="0" borderId="100" xfId="0" applyFont="1" applyBorder="1" applyAlignment="1">
      <alignment horizontal="center" vertical="center"/>
    </xf>
    <xf numFmtId="0" fontId="26" fillId="0" borderId="101" xfId="0" applyFont="1" applyBorder="1" applyAlignment="1">
      <alignment horizontal="center" vertical="center"/>
    </xf>
    <xf numFmtId="0" fontId="10" fillId="0" borderId="95" xfId="0" applyFont="1" applyBorder="1" applyAlignment="1">
      <alignment horizontal="center" vertical="center" wrapText="1"/>
    </xf>
    <xf numFmtId="0" fontId="10" fillId="0" borderId="96" xfId="0" applyFont="1" applyBorder="1" applyAlignment="1">
      <alignment horizontal="center" vertical="center" wrapText="1"/>
    </xf>
    <xf numFmtId="0" fontId="10" fillId="0" borderId="102" xfId="0" applyFont="1" applyBorder="1" applyAlignment="1">
      <alignment horizontal="center" vertical="center" wrapText="1"/>
    </xf>
    <xf numFmtId="0" fontId="16" fillId="0" borderId="91" xfId="0" applyFont="1" applyBorder="1" applyAlignment="1">
      <alignment horizontal="center" vertical="center"/>
    </xf>
    <xf numFmtId="0" fontId="16" fillId="0" borderId="92" xfId="0" applyFont="1" applyBorder="1" applyAlignment="1">
      <alignment horizontal="center" vertical="center"/>
    </xf>
    <xf numFmtId="0" fontId="16" fillId="0" borderId="93" xfId="0" applyFont="1" applyBorder="1" applyAlignment="1">
      <alignment horizontal="center" vertical="center"/>
    </xf>
    <xf numFmtId="0" fontId="27" fillId="13" borderId="98" xfId="0" applyFont="1" applyFill="1" applyBorder="1" applyAlignment="1">
      <alignment horizontal="center" vertical="center"/>
    </xf>
    <xf numFmtId="0" fontId="27" fillId="13" borderId="96" xfId="0" applyFont="1" applyFill="1" applyBorder="1" applyAlignment="1">
      <alignment horizontal="center" vertical="center"/>
    </xf>
    <xf numFmtId="0" fontId="27" fillId="13" borderId="102" xfId="0" applyFont="1" applyFill="1" applyBorder="1" applyAlignment="1">
      <alignment horizontal="center" vertical="center"/>
    </xf>
    <xf numFmtId="0" fontId="16" fillId="0" borderId="103" xfId="0" applyFont="1" applyBorder="1" applyAlignment="1">
      <alignment horizontal="center" vertical="center"/>
    </xf>
    <xf numFmtId="0" fontId="10" fillId="0" borderId="4" xfId="0" applyFont="1" applyBorder="1" applyAlignment="1">
      <alignment horizontal="center" vertical="center" wrapText="1"/>
    </xf>
    <xf numFmtId="0" fontId="10" fillId="0" borderId="10" xfId="0" applyFont="1" applyBorder="1" applyAlignment="1">
      <alignment horizontal="center" vertical="center" wrapText="1"/>
    </xf>
    <xf numFmtId="0" fontId="10" fillId="0" borderId="66" xfId="0" applyFont="1" applyBorder="1" applyAlignment="1">
      <alignment horizontal="center" vertical="center" wrapText="1"/>
    </xf>
    <xf numFmtId="0" fontId="10" fillId="15" borderId="90" xfId="0" applyFont="1" applyFill="1" applyBorder="1" applyAlignment="1">
      <alignment horizontal="center" vertical="center" wrapText="1"/>
    </xf>
    <xf numFmtId="0" fontId="10" fillId="15" borderId="10" xfId="0" applyFont="1" applyFill="1" applyBorder="1" applyAlignment="1">
      <alignment horizontal="center" vertical="center" wrapText="1"/>
    </xf>
    <xf numFmtId="0" fontId="10" fillId="15" borderId="5" xfId="0" applyFont="1" applyFill="1" applyBorder="1" applyAlignment="1">
      <alignment horizontal="center" vertical="center" wrapText="1"/>
    </xf>
    <xf numFmtId="0" fontId="10" fillId="15" borderId="4" xfId="0" applyFont="1" applyFill="1" applyBorder="1" applyAlignment="1">
      <alignment horizontal="center" vertical="center" wrapText="1"/>
    </xf>
    <xf numFmtId="0" fontId="56" fillId="3" borderId="39" xfId="0" applyFont="1" applyFill="1" applyBorder="1" applyAlignment="1">
      <alignment horizontal="center" vertical="center" wrapText="1"/>
    </xf>
    <xf numFmtId="0" fontId="56" fillId="3" borderId="77" xfId="0" applyFont="1" applyFill="1" applyBorder="1" applyAlignment="1">
      <alignment horizontal="center" vertical="center" wrapText="1"/>
    </xf>
    <xf numFmtId="0" fontId="56" fillId="3" borderId="64" xfId="0" applyFont="1" applyFill="1" applyBorder="1" applyAlignment="1">
      <alignment horizontal="center" vertical="center" wrapText="1"/>
    </xf>
    <xf numFmtId="0" fontId="29" fillId="0" borderId="89" xfId="0" applyFont="1" applyBorder="1" applyAlignment="1">
      <alignment horizontal="center" vertical="center"/>
    </xf>
    <xf numFmtId="0" fontId="29" fillId="0" borderId="75" xfId="0" applyFont="1" applyBorder="1" applyAlignment="1">
      <alignment horizontal="center" vertical="center"/>
    </xf>
    <xf numFmtId="0" fontId="29" fillId="0" borderId="76" xfId="0" applyFont="1" applyBorder="1" applyAlignment="1">
      <alignment horizontal="center" vertical="center"/>
    </xf>
    <xf numFmtId="0" fontId="10" fillId="0" borderId="90" xfId="0" applyFont="1" applyBorder="1" applyAlignment="1">
      <alignment horizontal="center" vertical="center" wrapText="1"/>
    </xf>
    <xf numFmtId="0" fontId="10" fillId="0" borderId="5" xfId="0" applyFont="1" applyBorder="1" applyAlignment="1">
      <alignment horizontal="center" vertical="center" wrapText="1"/>
    </xf>
    <xf numFmtId="0" fontId="16" fillId="0" borderId="94" xfId="0" applyFont="1" applyBorder="1" applyAlignment="1">
      <alignment horizontal="center" vertical="center"/>
    </xf>
    <xf numFmtId="0" fontId="10" fillId="0" borderId="97" xfId="0" applyFont="1" applyBorder="1" applyAlignment="1">
      <alignment horizontal="center" vertical="center" wrapText="1"/>
    </xf>
    <xf numFmtId="0" fontId="10" fillId="0" borderId="98" xfId="0" applyFont="1" applyBorder="1" applyAlignment="1">
      <alignment horizontal="center" vertical="center" wrapText="1"/>
    </xf>
    <xf numFmtId="0" fontId="10" fillId="3" borderId="4" xfId="0" applyFont="1" applyFill="1" applyBorder="1" applyAlignment="1">
      <alignment horizontal="center" vertical="center" wrapText="1"/>
    </xf>
    <xf numFmtId="0" fontId="10" fillId="3" borderId="10" xfId="0" applyFont="1" applyFill="1" applyBorder="1" applyAlignment="1">
      <alignment horizontal="center" vertical="center" wrapText="1"/>
    </xf>
    <xf numFmtId="0" fontId="10" fillId="3" borderId="5" xfId="0" applyFont="1" applyFill="1" applyBorder="1" applyAlignment="1">
      <alignment horizontal="center" vertical="center" wrapText="1"/>
    </xf>
    <xf numFmtId="0" fontId="10" fillId="15" borderId="84" xfId="0" applyFont="1" applyFill="1" applyBorder="1" applyAlignment="1">
      <alignment horizontal="center" vertical="center" wrapText="1"/>
    </xf>
    <xf numFmtId="0" fontId="10" fillId="15" borderId="85" xfId="0" applyFont="1" applyFill="1" applyBorder="1" applyAlignment="1">
      <alignment horizontal="center" vertical="center" wrapText="1"/>
    </xf>
    <xf numFmtId="0" fontId="10" fillId="15" borderId="86" xfId="0" applyFont="1" applyFill="1" applyBorder="1" applyAlignment="1">
      <alignment horizontal="center" vertical="center" wrapText="1"/>
    </xf>
    <xf numFmtId="0" fontId="10" fillId="15" borderId="87" xfId="0" applyFont="1" applyFill="1" applyBorder="1" applyAlignment="1">
      <alignment horizontal="center" vertical="center" wrapText="1"/>
    </xf>
    <xf numFmtId="0" fontId="10" fillId="0" borderId="87" xfId="0" applyFont="1" applyBorder="1" applyAlignment="1">
      <alignment horizontal="center" vertical="center" wrapText="1"/>
    </xf>
    <xf numFmtId="0" fontId="10" fillId="0" borderId="85" xfId="0" applyFont="1" applyBorder="1" applyAlignment="1">
      <alignment horizontal="center" vertical="center" wrapText="1"/>
    </xf>
    <xf numFmtId="0" fontId="10" fillId="0" borderId="88" xfId="0" applyFont="1" applyBorder="1" applyAlignment="1">
      <alignment horizontal="center" vertical="center" wrapText="1"/>
    </xf>
    <xf numFmtId="0" fontId="14" fillId="25" borderId="49" xfId="0" applyFont="1" applyFill="1" applyBorder="1" applyAlignment="1" applyProtection="1">
      <alignment horizontal="center" vertical="center" wrapText="1"/>
    </xf>
    <xf numFmtId="0" fontId="14" fillId="25" borderId="72" xfId="0" applyFont="1" applyFill="1" applyBorder="1" applyAlignment="1" applyProtection="1">
      <alignment horizontal="center" vertical="center" wrapText="1"/>
    </xf>
    <xf numFmtId="0" fontId="14" fillId="25" borderId="48" xfId="0" applyFont="1" applyFill="1" applyBorder="1" applyAlignment="1" applyProtection="1">
      <alignment horizontal="center" vertical="center" wrapText="1"/>
    </xf>
    <xf numFmtId="0" fontId="11" fillId="3" borderId="4" xfId="0" applyFont="1" applyFill="1" applyBorder="1" applyAlignment="1">
      <alignment horizontal="left" vertical="top" wrapText="1"/>
    </xf>
    <xf numFmtId="0" fontId="11" fillId="3" borderId="10" xfId="0" applyFont="1" applyFill="1" applyBorder="1" applyAlignment="1">
      <alignment horizontal="left" vertical="top" wrapText="1"/>
    </xf>
    <xf numFmtId="0" fontId="11" fillId="3" borderId="66" xfId="0" applyFont="1" applyFill="1" applyBorder="1" applyAlignment="1">
      <alignment horizontal="left" vertical="top" wrapText="1"/>
    </xf>
    <xf numFmtId="0" fontId="11" fillId="3" borderId="78" xfId="0" applyFont="1" applyFill="1" applyBorder="1" applyAlignment="1">
      <alignment horizontal="left" vertical="top" wrapText="1"/>
    </xf>
    <xf numFmtId="0" fontId="11" fillId="3" borderId="79" xfId="0" applyFont="1" applyFill="1" applyBorder="1" applyAlignment="1">
      <alignment horizontal="left" vertical="top" wrapText="1"/>
    </xf>
    <xf numFmtId="0" fontId="11" fillId="3" borderId="71" xfId="0" applyFont="1" applyFill="1" applyBorder="1" applyAlignment="1">
      <alignment horizontal="left" vertical="top" wrapText="1"/>
    </xf>
    <xf numFmtId="0" fontId="11" fillId="3" borderId="5" xfId="0" applyFont="1" applyFill="1" applyBorder="1" applyAlignment="1">
      <alignment horizontal="left" vertical="top" wrapText="1"/>
    </xf>
    <xf numFmtId="0" fontId="16" fillId="13" borderId="39" xfId="0" applyFont="1" applyFill="1" applyBorder="1" applyAlignment="1">
      <alignment horizontal="center" vertical="center"/>
    </xf>
    <xf numFmtId="0" fontId="16" fillId="13" borderId="77" xfId="0" applyFont="1" applyFill="1" applyBorder="1" applyAlignment="1">
      <alignment horizontal="center" vertical="center"/>
    </xf>
    <xf numFmtId="0" fontId="16" fillId="13" borderId="64" xfId="0" applyFont="1" applyFill="1" applyBorder="1" applyAlignment="1">
      <alignment horizontal="center" vertical="center"/>
    </xf>
    <xf numFmtId="0" fontId="11" fillId="3" borderId="80" xfId="0" applyFont="1" applyFill="1" applyBorder="1" applyAlignment="1">
      <alignment horizontal="left" vertical="top" wrapText="1"/>
    </xf>
    <xf numFmtId="0" fontId="11" fillId="3" borderId="67" xfId="0" applyFont="1" applyFill="1" applyBorder="1" applyAlignment="1">
      <alignment horizontal="left" vertical="top" wrapText="1"/>
    </xf>
    <xf numFmtId="0" fontId="11" fillId="3" borderId="81" xfId="0" applyFont="1" applyFill="1" applyBorder="1" applyAlignment="1">
      <alignment horizontal="left" vertical="top" wrapText="1"/>
    </xf>
    <xf numFmtId="0" fontId="11" fillId="3" borderId="68" xfId="0" applyFont="1" applyFill="1" applyBorder="1" applyAlignment="1">
      <alignment horizontal="left" vertical="top" wrapText="1"/>
    </xf>
    <xf numFmtId="0" fontId="14" fillId="25" borderId="82" xfId="0" applyFont="1" applyFill="1" applyBorder="1" applyAlignment="1" applyProtection="1">
      <alignment horizontal="center" vertical="center" wrapText="1"/>
    </xf>
    <xf numFmtId="0" fontId="14" fillId="25" borderId="83" xfId="0" applyFont="1" applyFill="1" applyBorder="1" applyAlignment="1" applyProtection="1">
      <alignment horizontal="center" vertical="center" wrapText="1"/>
    </xf>
    <xf numFmtId="0" fontId="79" fillId="21" borderId="34" xfId="0" quotePrefix="1" applyFont="1" applyFill="1" applyBorder="1" applyAlignment="1">
      <alignment horizontal="left" vertical="top" wrapText="1"/>
    </xf>
    <xf numFmtId="0" fontId="79" fillId="21" borderId="36" xfId="0" quotePrefix="1" applyFont="1" applyFill="1" applyBorder="1" applyAlignment="1">
      <alignment horizontal="left" vertical="top" wrapText="1"/>
    </xf>
    <xf numFmtId="0" fontId="79" fillId="21" borderId="35" xfId="0" quotePrefix="1" applyFont="1" applyFill="1" applyBorder="1" applyAlignment="1">
      <alignment horizontal="left" vertical="top" wrapText="1"/>
    </xf>
    <xf numFmtId="0" fontId="79" fillId="21" borderId="38" xfId="0" quotePrefix="1" applyFont="1" applyFill="1" applyBorder="1" applyAlignment="1">
      <alignment horizontal="left" vertical="top" wrapText="1"/>
    </xf>
    <xf numFmtId="0" fontId="30" fillId="21" borderId="39" xfId="0" applyFont="1" applyFill="1" applyBorder="1" applyAlignment="1">
      <alignment horizontal="center" vertical="center" wrapText="1"/>
    </xf>
    <xf numFmtId="0" fontId="30" fillId="21" borderId="77" xfId="0" applyFont="1" applyFill="1" applyBorder="1" applyAlignment="1">
      <alignment horizontal="center" vertical="center" wrapText="1"/>
    </xf>
    <xf numFmtId="0" fontId="30" fillId="21" borderId="64" xfId="0" applyFont="1" applyFill="1" applyBorder="1" applyAlignment="1">
      <alignment horizontal="center" vertical="center" wrapText="1"/>
    </xf>
    <xf numFmtId="0" fontId="80" fillId="21" borderId="39" xfId="0" applyFont="1" applyFill="1" applyBorder="1" applyAlignment="1">
      <alignment horizontal="center" vertical="center" wrapText="1"/>
    </xf>
    <xf numFmtId="0" fontId="80" fillId="21" borderId="77" xfId="0" applyFont="1" applyFill="1" applyBorder="1" applyAlignment="1">
      <alignment horizontal="center" vertical="center" wrapText="1"/>
    </xf>
    <xf numFmtId="0" fontId="80" fillId="21" borderId="64" xfId="0" applyFont="1" applyFill="1" applyBorder="1" applyAlignment="1">
      <alignment horizontal="center" vertical="center" wrapText="1"/>
    </xf>
    <xf numFmtId="0" fontId="11" fillId="0" borderId="78" xfId="0" applyFont="1" applyBorder="1" applyAlignment="1">
      <alignment horizontal="left" vertical="top" wrapText="1"/>
    </xf>
    <xf numFmtId="0" fontId="11" fillId="0" borderId="79" xfId="0" applyFont="1" applyBorder="1" applyAlignment="1">
      <alignment horizontal="left" vertical="top" wrapText="1"/>
    </xf>
    <xf numFmtId="0" fontId="11" fillId="0" borderId="71" xfId="0" applyFont="1" applyBorder="1" applyAlignment="1">
      <alignment horizontal="left" vertical="top" wrapText="1"/>
    </xf>
    <xf numFmtId="0" fontId="65" fillId="21" borderId="104" xfId="0" quotePrefix="1" applyFont="1" applyFill="1" applyBorder="1" applyAlignment="1">
      <alignment horizontal="center" vertical="center" wrapText="1"/>
    </xf>
    <xf numFmtId="0" fontId="65" fillId="21" borderId="18" xfId="0" quotePrefix="1" applyFont="1" applyFill="1" applyBorder="1" applyAlignment="1">
      <alignment horizontal="center" vertical="center" wrapText="1"/>
    </xf>
    <xf numFmtId="0" fontId="65" fillId="21" borderId="105" xfId="0" quotePrefix="1" applyFont="1" applyFill="1" applyBorder="1" applyAlignment="1">
      <alignment horizontal="center" vertical="center" wrapText="1"/>
    </xf>
    <xf numFmtId="0" fontId="11" fillId="21" borderId="4" xfId="0" quotePrefix="1" applyFont="1" applyFill="1" applyBorder="1" applyAlignment="1">
      <alignment horizontal="left" vertical="top" wrapText="1"/>
    </xf>
    <xf numFmtId="0" fontId="11" fillId="21" borderId="10" xfId="0" quotePrefix="1" applyFont="1" applyFill="1" applyBorder="1" applyAlignment="1">
      <alignment horizontal="left" vertical="top" wrapText="1"/>
    </xf>
    <xf numFmtId="0" fontId="11" fillId="21" borderId="66" xfId="0" quotePrefix="1" applyFont="1" applyFill="1" applyBorder="1" applyAlignment="1">
      <alignment horizontal="left" vertical="top" wrapText="1"/>
    </xf>
  </cellXfs>
  <cellStyles count="7">
    <cellStyle name="Comma" xfId="1" builtinId="3"/>
    <cellStyle name="Comma 2" xfId="2" xr:uid="{00000000-0005-0000-0000-000001000000}"/>
    <cellStyle name="Currency" xfId="3" builtinId="4"/>
    <cellStyle name="Hyperlink" xfId="4" builtinId="8"/>
    <cellStyle name="Normal" xfId="0" builtinId="0"/>
    <cellStyle name="Normal 2" xfId="5" xr:uid="{00000000-0005-0000-0000-000005000000}"/>
    <cellStyle name="Normal 3" xfId="6" xr:uid="{00000000-0005-0000-0000-000006000000}"/>
  </cellStyles>
  <dxfs count="96">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ont>
        <b val="0"/>
        <i val="0"/>
        <condense val="0"/>
        <extend val="0"/>
      </font>
      <fill>
        <patternFill patternType="solid">
          <bgColor indexed="13"/>
        </patternFill>
      </fill>
    </dxf>
    <dxf>
      <font>
        <b/>
        <i val="0"/>
        <condense val="0"/>
        <extend val="0"/>
        <color indexed="10"/>
      </font>
    </dxf>
    <dxf>
      <font>
        <b val="0"/>
        <i val="0"/>
        <condense val="0"/>
        <extend val="0"/>
      </font>
      <fill>
        <patternFill patternType="solid">
          <bgColor indexed="13"/>
        </patternFill>
      </fill>
    </dxf>
    <dxf>
      <font>
        <b val="0"/>
        <i val="0"/>
        <condense val="0"/>
        <extend val="0"/>
      </font>
      <fill>
        <patternFill patternType="solid">
          <bgColor indexed="13"/>
        </patternFill>
      </fill>
    </dxf>
    <dxf>
      <font>
        <b/>
        <i val="0"/>
        <condense val="0"/>
        <extend val="0"/>
        <color indexed="10"/>
      </font>
    </dxf>
    <dxf>
      <font>
        <b val="0"/>
        <i val="0"/>
        <condense val="0"/>
        <extend val="0"/>
      </font>
      <fill>
        <patternFill patternType="solid">
          <bgColor indexed="13"/>
        </patternFill>
      </fill>
    </dxf>
    <dxf>
      <font>
        <b/>
        <i val="0"/>
        <condense val="0"/>
        <extend val="0"/>
        <color indexed="10"/>
      </font>
    </dxf>
    <dxf>
      <font>
        <b/>
        <i val="0"/>
        <condense val="0"/>
        <extend val="0"/>
        <color indexed="10"/>
      </font>
    </dxf>
    <dxf>
      <font>
        <b val="0"/>
        <i val="0"/>
        <condense val="0"/>
        <extend val="0"/>
        <color auto="1"/>
      </font>
      <fill>
        <patternFill>
          <bgColor indexed="13"/>
        </patternFill>
      </fill>
    </dxf>
    <dxf>
      <font>
        <condense val="0"/>
        <extend val="0"/>
        <color auto="1"/>
      </font>
      <fill>
        <patternFill>
          <bgColor indexed="13"/>
        </patternFill>
      </fill>
    </dxf>
    <dxf>
      <font>
        <condense val="0"/>
        <extend val="0"/>
        <u val="none"/>
      </font>
      <fill>
        <patternFill>
          <bgColor indexed="13"/>
        </patternFill>
      </fill>
    </dxf>
    <dxf>
      <font>
        <b val="0"/>
        <i val="0"/>
        <condense val="0"/>
        <extend val="0"/>
      </font>
      <fill>
        <patternFill patternType="solid">
          <bgColor indexed="13"/>
        </patternFill>
      </fill>
    </dxf>
    <dxf>
      <font>
        <b/>
        <i val="0"/>
        <condense val="0"/>
        <extend val="0"/>
        <color indexed="10"/>
      </font>
    </dxf>
    <dxf>
      <font>
        <color theme="0" tint="-0.34998626667073579"/>
      </font>
    </dxf>
    <dxf>
      <font>
        <color theme="0" tint="-0.34998626667073579"/>
      </font>
    </dxf>
    <dxf>
      <font>
        <b/>
        <i val="0"/>
        <condense val="0"/>
        <extend val="0"/>
        <color indexed="10"/>
      </font>
    </dxf>
    <dxf>
      <font>
        <b/>
        <i val="0"/>
        <condense val="0"/>
        <extend val="0"/>
        <color indexed="10"/>
      </font>
    </dxf>
    <dxf>
      <font>
        <b/>
        <i val="0"/>
        <condense val="0"/>
        <extend val="0"/>
        <color indexed="10"/>
      </font>
    </dxf>
    <dxf>
      <font>
        <b/>
        <i val="0"/>
        <condense val="0"/>
        <extend val="0"/>
        <color indexed="52"/>
      </font>
    </dxf>
    <dxf>
      <font>
        <b/>
        <i val="0"/>
        <condense val="0"/>
        <extend val="0"/>
        <color indexed="53"/>
      </font>
    </dxf>
    <dxf>
      <font>
        <b/>
        <i val="0"/>
        <condense val="0"/>
        <extend val="0"/>
        <color indexed="10"/>
      </font>
    </dxf>
    <dxf>
      <font>
        <b/>
        <i val="0"/>
        <condense val="0"/>
        <extend val="0"/>
        <color indexed="52"/>
      </font>
    </dxf>
    <dxf>
      <font>
        <b/>
        <i val="0"/>
        <condense val="0"/>
        <extend val="0"/>
        <color indexed="53"/>
      </font>
    </dxf>
    <dxf>
      <font>
        <b/>
        <i val="0"/>
        <condense val="0"/>
        <extend val="0"/>
        <color indexed="10"/>
      </font>
    </dxf>
    <dxf>
      <font>
        <b/>
        <i val="0"/>
        <condense val="0"/>
        <extend val="0"/>
        <color indexed="52"/>
      </font>
    </dxf>
    <dxf>
      <font>
        <b/>
        <i val="0"/>
        <condense val="0"/>
        <extend val="0"/>
        <color indexed="53"/>
      </font>
    </dxf>
    <dxf>
      <font>
        <b/>
        <i val="0"/>
        <condense val="0"/>
        <extend val="0"/>
        <color indexed="10"/>
      </font>
    </dxf>
    <dxf>
      <font>
        <b/>
        <i val="0"/>
        <condense val="0"/>
        <extend val="0"/>
        <color indexed="52"/>
      </font>
    </dxf>
    <dxf>
      <font>
        <b/>
        <i val="0"/>
        <condense val="0"/>
        <extend val="0"/>
        <color indexed="53"/>
      </font>
    </dxf>
    <dxf>
      <font>
        <b/>
        <i val="0"/>
        <condense val="0"/>
        <extend val="0"/>
        <color indexed="10"/>
      </font>
    </dxf>
    <dxf>
      <font>
        <b/>
        <i val="0"/>
        <color rgb="FFFF0000"/>
      </font>
    </dxf>
    <dxf>
      <font>
        <color rgb="FFFFFF66"/>
      </font>
    </dxf>
    <dxf>
      <font>
        <condense val="0"/>
        <extend val="0"/>
        <color indexed="10"/>
      </font>
      <fill>
        <patternFill>
          <bgColor indexed="9"/>
        </patternFill>
      </fill>
      <border>
        <left style="thin">
          <color indexed="10"/>
        </left>
        <right style="thin">
          <color indexed="10"/>
        </right>
        <top style="thin">
          <color indexed="10"/>
        </top>
        <bottom style="thin">
          <color indexed="10"/>
        </bottom>
      </border>
    </dxf>
    <dxf>
      <font>
        <color theme="4" tint="0.79998168889431442"/>
      </font>
      <fill>
        <patternFill>
          <bgColor theme="4" tint="0.79998168889431442"/>
        </patternFill>
      </fill>
      <border>
        <left/>
        <right/>
        <top style="thin">
          <color theme="3" tint="0.39994506668294322"/>
        </top>
        <bottom/>
      </border>
    </dxf>
    <dxf>
      <font>
        <color theme="4" tint="0.79998168889431442"/>
      </font>
      <fill>
        <patternFill>
          <bgColor theme="4" tint="0.79998168889431442"/>
        </patternFill>
      </fill>
      <border>
        <left/>
        <right/>
        <top/>
        <bottom/>
      </border>
    </dxf>
    <dxf>
      <font>
        <strike val="0"/>
        <color theme="4" tint="0.79995117038483843"/>
      </font>
      <fill>
        <patternFill>
          <bgColor theme="4" tint="0.79998168889431442"/>
        </patternFill>
      </fill>
      <border>
        <left/>
        <right/>
        <top style="thin">
          <color theme="3" tint="0.39994506668294322"/>
        </top>
        <bottom/>
      </border>
    </dxf>
    <dxf>
      <font>
        <color theme="4" tint="0.79998168889431442"/>
      </font>
      <fill>
        <patternFill>
          <bgColor theme="4" tint="0.79998168889431442"/>
        </patternFill>
      </fill>
      <border>
        <left/>
        <right/>
        <bottom/>
      </border>
    </dxf>
    <dxf>
      <font>
        <color theme="4" tint="0.79998168889431442"/>
        <name val="Cambria"/>
        <scheme val="none"/>
      </font>
      <fill>
        <patternFill>
          <bgColor theme="4" tint="0.79998168889431442"/>
        </patternFill>
      </fill>
      <border>
        <left/>
        <right/>
        <top/>
        <bottom/>
      </border>
    </dxf>
    <dxf>
      <font>
        <color theme="0" tint="-0.499984740745262"/>
      </font>
    </dxf>
    <dxf>
      <font>
        <color theme="4" tint="0.79998168889431442"/>
      </font>
      <fill>
        <patternFill>
          <bgColor theme="4" tint="0.79998168889431442"/>
        </patternFill>
      </fill>
    </dxf>
    <dxf>
      <font>
        <color theme="4" tint="0.79998168889431442"/>
        <name val="Cambria"/>
        <scheme val="none"/>
      </font>
      <fill>
        <patternFill>
          <bgColor theme="4" tint="0.79998168889431442"/>
        </patternFill>
      </fill>
    </dxf>
    <dxf>
      <font>
        <color theme="4" tint="0.79998168889431442"/>
      </font>
      <fill>
        <patternFill patternType="solid">
          <bgColor theme="4" tint="0.79995117038483843"/>
        </patternFill>
      </fill>
    </dxf>
    <dxf>
      <font>
        <condense val="0"/>
        <extend val="0"/>
        <color indexed="9"/>
      </font>
    </dxf>
    <dxf>
      <font>
        <color theme="7" tint="0.59996337778862885"/>
        <name val="Cambria"/>
        <scheme val="none"/>
      </font>
    </dxf>
    <dxf>
      <font>
        <condense val="0"/>
        <extend val="0"/>
        <color indexed="10"/>
      </font>
    </dxf>
    <dxf>
      <font>
        <b/>
        <i val="0"/>
        <condense val="0"/>
        <extend val="0"/>
      </font>
    </dxf>
    <dxf>
      <font>
        <condense val="0"/>
        <extend val="0"/>
        <color auto="1"/>
      </font>
    </dxf>
    <dxf>
      <font>
        <color theme="0"/>
      </font>
    </dxf>
    <dxf>
      <font>
        <color theme="0"/>
      </font>
    </dxf>
    <dxf>
      <font>
        <strike val="0"/>
        <color theme="0"/>
      </font>
    </dxf>
    <dxf>
      <font>
        <strike val="0"/>
        <color theme="0"/>
      </font>
    </dxf>
    <dxf>
      <font>
        <color theme="0"/>
      </font>
    </dxf>
    <dxf>
      <font>
        <strike val="0"/>
        <color theme="0"/>
      </font>
    </dxf>
    <dxf>
      <font>
        <condense val="0"/>
        <extend val="0"/>
        <color indexed="10"/>
      </font>
    </dxf>
    <dxf>
      <font>
        <condense val="0"/>
        <extend val="0"/>
        <color indexed="10"/>
      </font>
    </dxf>
    <dxf>
      <font>
        <condense val="0"/>
        <extend val="0"/>
        <color indexed="10"/>
      </font>
      <fill>
        <patternFill>
          <bgColor indexed="9"/>
        </patternFill>
      </fill>
      <border>
        <left style="thin">
          <color indexed="10"/>
        </left>
        <right style="thin">
          <color indexed="10"/>
        </right>
        <top style="thin">
          <color indexed="10"/>
        </top>
        <bottom style="thin">
          <color indexed="10"/>
        </bottom>
      </border>
    </dxf>
    <dxf>
      <font>
        <b/>
        <i val="0"/>
        <strike val="0"/>
        <color theme="3"/>
      </font>
    </dxf>
    <dxf>
      <font>
        <condense val="0"/>
        <extend val="0"/>
        <color auto="1"/>
      </font>
      <fill>
        <patternFill>
          <bgColor indexed="10"/>
        </patternFill>
      </fill>
    </dxf>
    <dxf>
      <font>
        <condense val="0"/>
        <extend val="0"/>
        <color indexed="9"/>
      </font>
    </dxf>
    <dxf>
      <font>
        <condense val="0"/>
        <extend val="0"/>
        <color indexed="10"/>
      </font>
      <fill>
        <patternFill>
          <bgColor indexed="9"/>
        </patternFill>
      </fill>
      <border>
        <left style="thin">
          <color indexed="10"/>
        </left>
        <right style="thin">
          <color indexed="10"/>
        </right>
        <top style="thin">
          <color indexed="10"/>
        </top>
        <bottom style="thin">
          <color indexed="10"/>
        </bottom>
      </border>
    </dxf>
    <dxf>
      <font>
        <b/>
        <i val="0"/>
        <color theme="3"/>
      </font>
    </dxf>
    <dxf>
      <font>
        <condense val="0"/>
        <extend val="0"/>
        <color indexed="10"/>
      </font>
      <fill>
        <patternFill>
          <bgColor indexed="9"/>
        </patternFill>
      </fill>
      <border>
        <left style="thin">
          <color indexed="10"/>
        </left>
        <right style="thin">
          <color indexed="10"/>
        </right>
        <top style="thin">
          <color indexed="10"/>
        </top>
        <bottom style="thin">
          <color indexed="10"/>
        </bottom>
      </border>
    </dxf>
    <dxf>
      <font>
        <b/>
        <i val="0"/>
        <strike val="0"/>
        <color theme="3"/>
      </font>
    </dxf>
    <dxf>
      <font>
        <b/>
        <i val="0"/>
        <strike val="0"/>
        <color theme="3"/>
      </font>
    </dxf>
    <dxf>
      <font>
        <condense val="0"/>
        <extend val="0"/>
        <color indexed="10"/>
      </font>
      <fill>
        <patternFill>
          <bgColor indexed="9"/>
        </patternFill>
      </fill>
      <border>
        <left style="thin">
          <color indexed="10"/>
        </left>
        <right style="thin">
          <color indexed="10"/>
        </right>
        <top style="thin">
          <color indexed="10"/>
        </top>
        <bottom style="thin">
          <color indexed="10"/>
        </bottom>
      </border>
    </dxf>
    <dxf>
      <font>
        <condense val="0"/>
        <extend val="0"/>
        <color indexed="10"/>
      </font>
      <fill>
        <patternFill>
          <bgColor indexed="9"/>
        </patternFill>
      </fill>
      <border>
        <left style="thin">
          <color indexed="10"/>
        </left>
        <right style="thin">
          <color indexed="10"/>
        </right>
        <top style="thin">
          <color indexed="10"/>
        </top>
        <bottom style="thin">
          <color indexed="10"/>
        </bottom>
      </border>
    </dxf>
    <dxf>
      <font>
        <condense val="0"/>
        <extend val="0"/>
        <color indexed="10"/>
      </font>
      <fill>
        <patternFill>
          <bgColor indexed="9"/>
        </patternFill>
      </fill>
      <border>
        <left style="thin">
          <color indexed="10"/>
        </left>
        <right style="thin">
          <color indexed="10"/>
        </right>
        <top style="thin">
          <color indexed="10"/>
        </top>
        <bottom style="thin">
          <color indexed="10"/>
        </bottom>
      </border>
    </dxf>
    <dxf>
      <font>
        <condense val="0"/>
        <extend val="0"/>
        <color indexed="10"/>
      </font>
      <fill>
        <patternFill>
          <bgColor indexed="9"/>
        </patternFill>
      </fill>
      <border>
        <left style="thin">
          <color indexed="10"/>
        </left>
        <right style="thin">
          <color indexed="10"/>
        </right>
        <top style="thin">
          <color indexed="10"/>
        </top>
        <bottom style="thin">
          <color indexed="10"/>
        </bottom>
      </border>
    </dxf>
    <dxf>
      <font>
        <color theme="7" tint="0.59996337778862885"/>
        <name val="Cambria"/>
        <scheme val="none"/>
      </font>
    </dxf>
    <dxf>
      <font>
        <condense val="0"/>
        <extend val="0"/>
        <color indexed="9"/>
      </font>
    </dxf>
    <dxf>
      <font>
        <condense val="0"/>
        <extend val="0"/>
        <color indexed="10"/>
      </font>
    </dxf>
    <dxf>
      <font>
        <condense val="0"/>
        <extend val="0"/>
        <color indexed="10"/>
      </font>
    </dxf>
    <dxf>
      <font>
        <color theme="7" tint="0.59996337778862885"/>
        <name val="Cambria"/>
        <scheme val="none"/>
      </font>
    </dxf>
    <dxf>
      <font>
        <condense val="0"/>
        <extend val="0"/>
        <color indexed="9"/>
      </font>
    </dxf>
    <dxf>
      <font>
        <condense val="0"/>
        <extend val="0"/>
        <color indexed="9"/>
      </font>
    </dxf>
    <dxf>
      <font>
        <condense val="0"/>
        <extend val="0"/>
        <color indexed="10"/>
      </font>
    </dxf>
    <dxf>
      <font>
        <color theme="4" tint="0.79998168889431442"/>
      </font>
    </dxf>
    <dxf>
      <font>
        <color theme="4" tint="0.79998168889431442"/>
      </font>
      <fill>
        <patternFill>
          <bgColor theme="4" tint="0.79998168889431442"/>
        </patternFill>
      </fill>
      <border>
        <left/>
        <right/>
        <top/>
        <bottom/>
      </border>
    </dxf>
    <dxf>
      <font>
        <color theme="4" tint="0.79998168889431442"/>
      </font>
    </dxf>
    <dxf>
      <font>
        <color theme="4" tint="0.79998168889431442"/>
      </font>
    </dxf>
    <dxf>
      <font>
        <color theme="4" tint="0.79998168889431442"/>
      </font>
    </dxf>
    <dxf>
      <font>
        <color theme="4" tint="0.79998168889431442"/>
      </font>
      <fill>
        <patternFill>
          <bgColor theme="4" tint="0.79998168889431442"/>
        </patternFill>
      </fill>
      <border>
        <left/>
        <right/>
        <top/>
        <bottom/>
      </border>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Sheet1!$E$79</c:f>
          <c:strCache>
            <c:ptCount val="1"/>
            <c:pt idx="0">
              <c:v>Total Cost of NRW =$104,884</c:v>
            </c:pt>
          </c:strCache>
        </c:strRef>
      </c:tx>
      <c:overlay val="1"/>
      <c:txPr>
        <a:bodyPr/>
        <a:lstStyle/>
        <a:p>
          <a:pPr>
            <a:defRPr sz="1200" b="0" i="0" u="none" strike="noStrike" baseline="0">
              <a:solidFill>
                <a:srgbClr val="000000"/>
              </a:solidFill>
              <a:latin typeface="Calibri"/>
              <a:ea typeface="Calibri"/>
              <a:cs typeface="Calibri"/>
            </a:defRPr>
          </a:pPr>
          <a:endParaRPr lang="en-US"/>
        </a:p>
      </c:txPr>
    </c:title>
    <c:autoTitleDeleted val="0"/>
    <c:plotArea>
      <c:layout>
        <c:manualLayout>
          <c:layoutTarget val="inner"/>
          <c:xMode val="edge"/>
          <c:yMode val="edge"/>
          <c:x val="0.29996331783828228"/>
          <c:y val="8.9751571751205517E-2"/>
          <c:w val="0.6598760395914367"/>
          <c:h val="0.61196270920680373"/>
        </c:manualLayout>
      </c:layout>
      <c:barChart>
        <c:barDir val="col"/>
        <c:grouping val="clustered"/>
        <c:varyColors val="0"/>
        <c:ser>
          <c:idx val="0"/>
          <c:order val="0"/>
          <c:tx>
            <c:strRef>
              <c:f>Sheet1!$A$90</c:f>
              <c:strCache>
                <c:ptCount val="1"/>
                <c:pt idx="0">
                  <c:v>Unbilled metered (valued at Var. Prod. Cost)</c:v>
                </c:pt>
              </c:strCache>
            </c:strRef>
          </c:tx>
          <c:spPr>
            <a:effectLst/>
            <a:scene3d>
              <a:camera prst="orthographicFront"/>
              <a:lightRig rig="threePt" dir="t"/>
            </a:scene3d>
          </c:spPr>
          <c:invertIfNegative val="0"/>
          <c:val>
            <c:numRef>
              <c:f>Sheet1!$E$90</c:f>
              <c:numCache>
                <c:formatCode>0.0</c:formatCode>
                <c:ptCount val="1"/>
                <c:pt idx="0">
                  <c:v>4000</c:v>
                </c:pt>
              </c:numCache>
            </c:numRef>
          </c:val>
          <c:extLst>
            <c:ext xmlns:c16="http://schemas.microsoft.com/office/drawing/2014/chart" uri="{C3380CC4-5D6E-409C-BE32-E72D297353CC}">
              <c16:uniqueId val="{00000000-1905-4AA0-8892-DE43D027442A}"/>
            </c:ext>
          </c:extLst>
        </c:ser>
        <c:ser>
          <c:idx val="1"/>
          <c:order val="1"/>
          <c:tx>
            <c:strRef>
              <c:f>Sheet1!$A$91</c:f>
              <c:strCache>
                <c:ptCount val="1"/>
                <c:pt idx="0">
                  <c:v>Unbilled unmetered (valued at Var. Prod. Cost)</c:v>
                </c:pt>
              </c:strCache>
            </c:strRef>
          </c:tx>
          <c:spPr>
            <a:effectLst/>
          </c:spPr>
          <c:invertIfNegative val="0"/>
          <c:val>
            <c:numRef>
              <c:f>Sheet1!$E$91</c:f>
              <c:numCache>
                <c:formatCode>0.0</c:formatCode>
                <c:ptCount val="1"/>
                <c:pt idx="0">
                  <c:v>5445.5445544554459</c:v>
                </c:pt>
              </c:numCache>
            </c:numRef>
          </c:val>
          <c:extLst>
            <c:ext xmlns:c16="http://schemas.microsoft.com/office/drawing/2014/chart" uri="{C3380CC4-5D6E-409C-BE32-E72D297353CC}">
              <c16:uniqueId val="{00000001-1905-4AA0-8892-DE43D027442A}"/>
            </c:ext>
          </c:extLst>
        </c:ser>
        <c:ser>
          <c:idx val="2"/>
          <c:order val="2"/>
          <c:tx>
            <c:strRef>
              <c:f>Sheet1!$A$94</c:f>
              <c:strCache>
                <c:ptCount val="1"/>
                <c:pt idx="0">
                  <c:v>Unauth. consumption</c:v>
                </c:pt>
              </c:strCache>
            </c:strRef>
          </c:tx>
          <c:spPr>
            <a:effectLst/>
          </c:spPr>
          <c:invertIfNegative val="0"/>
          <c:val>
            <c:numRef>
              <c:f>Sheet1!$E$94</c:f>
              <c:numCache>
                <c:formatCode>0.0</c:formatCode>
                <c:ptCount val="1"/>
                <c:pt idx="0">
                  <c:v>2042.0792079207924</c:v>
                </c:pt>
              </c:numCache>
            </c:numRef>
          </c:val>
          <c:extLst>
            <c:ext xmlns:c16="http://schemas.microsoft.com/office/drawing/2014/chart" uri="{C3380CC4-5D6E-409C-BE32-E72D297353CC}">
              <c16:uniqueId val="{00000002-1905-4AA0-8892-DE43D027442A}"/>
            </c:ext>
          </c:extLst>
        </c:ser>
        <c:ser>
          <c:idx val="3"/>
          <c:order val="3"/>
          <c:tx>
            <c:strRef>
              <c:f>Sheet1!$A$95</c:f>
              <c:strCache>
                <c:ptCount val="1"/>
                <c:pt idx="0">
                  <c:v>Cust. metering inaccuracies</c:v>
                </c:pt>
              </c:strCache>
            </c:strRef>
          </c:tx>
          <c:spPr>
            <a:effectLst/>
          </c:spPr>
          <c:invertIfNegative val="0"/>
          <c:val>
            <c:numRef>
              <c:f>Sheet1!$E$95</c:f>
              <c:numCache>
                <c:formatCode>0.0</c:formatCode>
                <c:ptCount val="1"/>
                <c:pt idx="0">
                  <c:v>67500</c:v>
                </c:pt>
              </c:numCache>
            </c:numRef>
          </c:val>
          <c:extLst>
            <c:ext xmlns:c16="http://schemas.microsoft.com/office/drawing/2014/chart" uri="{C3380CC4-5D6E-409C-BE32-E72D297353CC}">
              <c16:uniqueId val="{00000003-1905-4AA0-8892-DE43D027442A}"/>
            </c:ext>
          </c:extLst>
        </c:ser>
        <c:ser>
          <c:idx val="4"/>
          <c:order val="4"/>
          <c:tx>
            <c:strRef>
              <c:f>Sheet1!$A$96</c:f>
              <c:strCache>
                <c:ptCount val="1"/>
                <c:pt idx="0">
                  <c:v>Syst. data handling errors</c:v>
                </c:pt>
              </c:strCache>
            </c:strRef>
          </c:tx>
          <c:spPr>
            <a:effectLst/>
          </c:spPr>
          <c:invertIfNegative val="0"/>
          <c:val>
            <c:numRef>
              <c:f>Sheet1!$E$96</c:f>
              <c:numCache>
                <c:formatCode>0.0</c:formatCode>
                <c:ptCount val="1"/>
                <c:pt idx="0">
                  <c:v>1687.5</c:v>
                </c:pt>
              </c:numCache>
            </c:numRef>
          </c:val>
          <c:extLst>
            <c:ext xmlns:c16="http://schemas.microsoft.com/office/drawing/2014/chart" uri="{C3380CC4-5D6E-409C-BE32-E72D297353CC}">
              <c16:uniqueId val="{00000004-1905-4AA0-8892-DE43D027442A}"/>
            </c:ext>
          </c:extLst>
        </c:ser>
        <c:ser>
          <c:idx val="5"/>
          <c:order val="5"/>
          <c:tx>
            <c:strRef>
              <c:f>Sheet1!$A$98</c:f>
              <c:strCache>
                <c:ptCount val="1"/>
                <c:pt idx="0">
                  <c:v>Real Losses (valued at Var. Prod. Cost)</c:v>
                </c:pt>
              </c:strCache>
            </c:strRef>
          </c:tx>
          <c:spPr>
            <a:solidFill>
              <a:srgbClr val="FF6600"/>
            </a:solidFill>
            <a:effectLst/>
          </c:spPr>
          <c:invertIfNegative val="0"/>
          <c:val>
            <c:numRef>
              <c:f>Sheet1!$E$98</c:f>
              <c:numCache>
                <c:formatCode>0.0</c:formatCode>
                <c:ptCount val="1"/>
                <c:pt idx="0">
                  <c:v>24208.910891089105</c:v>
                </c:pt>
              </c:numCache>
            </c:numRef>
          </c:val>
          <c:extLst>
            <c:ext xmlns:c16="http://schemas.microsoft.com/office/drawing/2014/chart" uri="{C3380CC4-5D6E-409C-BE32-E72D297353CC}">
              <c16:uniqueId val="{00000005-1905-4AA0-8892-DE43D027442A}"/>
            </c:ext>
          </c:extLst>
        </c:ser>
        <c:dLbls>
          <c:showLegendKey val="0"/>
          <c:showVal val="0"/>
          <c:showCatName val="0"/>
          <c:showSerName val="0"/>
          <c:showPercent val="0"/>
          <c:showBubbleSize val="0"/>
        </c:dLbls>
        <c:gapWidth val="48"/>
        <c:axId val="499425360"/>
        <c:axId val="1"/>
      </c:barChart>
      <c:catAx>
        <c:axId val="499425360"/>
        <c:scaling>
          <c:orientation val="minMax"/>
        </c:scaling>
        <c:delete val="1"/>
        <c:axPos val="b"/>
        <c:majorTickMark val="out"/>
        <c:minorTickMark val="none"/>
        <c:tickLblPos val="nextTo"/>
        <c:crossAx val="1"/>
        <c:crosses val="autoZero"/>
        <c:auto val="1"/>
        <c:lblAlgn val="ctr"/>
        <c:lblOffset val="100"/>
        <c:noMultiLvlLbl val="0"/>
      </c:catAx>
      <c:valAx>
        <c:axId val="1"/>
        <c:scaling>
          <c:orientation val="minMax"/>
        </c:scaling>
        <c:delete val="0"/>
        <c:axPos val="l"/>
        <c:majorGridlines/>
        <c:title>
          <c:tx>
            <c:strRef>
              <c:f>Sheet1!$E$80</c:f>
              <c:strCache>
                <c:ptCount val="1"/>
                <c:pt idx="0">
                  <c:v>          Cost $</c:v>
                </c:pt>
              </c:strCache>
            </c:strRef>
          </c:tx>
          <c:layout>
            <c:manualLayout>
              <c:xMode val="edge"/>
              <c:yMode val="edge"/>
              <c:x val="4.0298534111807447E-3"/>
              <c:y val="0.26987933326516"/>
            </c:manualLayout>
          </c:layout>
          <c:overlay val="0"/>
          <c:txPr>
            <a:bodyPr/>
            <a:lstStyle/>
            <a:p>
              <a:pPr>
                <a:defRPr sz="1200" b="0" i="0" u="none" strike="noStrike" baseline="0">
                  <a:solidFill>
                    <a:srgbClr val="000000"/>
                  </a:solidFill>
                  <a:latin typeface="Calibri"/>
                  <a:ea typeface="Calibri"/>
                  <a:cs typeface="Calibri"/>
                </a:defRPr>
              </a:pPr>
              <a:endParaRPr lang="en-US"/>
            </a:p>
          </c:txPr>
        </c:title>
        <c:numFmt formatCode="#,##0" sourceLinked="0"/>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99425360"/>
        <c:crosses val="autoZero"/>
        <c:crossBetween val="between"/>
      </c:valAx>
      <c:spPr>
        <a:noFill/>
        <a:ln w="25400">
          <a:noFill/>
        </a:ln>
      </c:spPr>
    </c:plotArea>
    <c:legend>
      <c:legendPos val="r"/>
      <c:layout>
        <c:manualLayout>
          <c:xMode val="edge"/>
          <c:yMode val="edge"/>
          <c:x val="4.3084197808607255E-2"/>
          <c:y val="0.72871667556706932"/>
          <c:w val="0.89116003356723261"/>
          <c:h val="0.25685463559479316"/>
        </c:manualLayout>
      </c:layout>
      <c:overlay val="0"/>
      <c:txPr>
        <a:bodyPr/>
        <a:lstStyle/>
        <a:p>
          <a:pPr>
            <a:defRPr sz="845" b="0" i="0" u="none" strike="noStrike" baseline="0">
              <a:solidFill>
                <a:srgbClr val="000000"/>
              </a:solidFill>
              <a:latin typeface="Calibri"/>
              <a:ea typeface="Calibri"/>
              <a:cs typeface="Calibri"/>
            </a:defRPr>
          </a:pPr>
          <a:endParaRPr lang="en-US"/>
        </a:p>
      </c:txPr>
    </c:legend>
    <c:plotVisOnly val="1"/>
    <c:dispBlanksAs val="gap"/>
    <c:showDLblsOverMax val="0"/>
  </c:chart>
  <c:spPr>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0.11982174103237095"/>
          <c:y val="2.7713207547169813E-2"/>
          <c:w val="0.74162346894138231"/>
          <c:h val="0.66726792452830186"/>
        </c:manualLayout>
      </c:layout>
      <c:barChart>
        <c:barDir val="col"/>
        <c:grouping val="percentStacked"/>
        <c:varyColors val="0"/>
        <c:ser>
          <c:idx val="1"/>
          <c:order val="0"/>
          <c:tx>
            <c:strRef>
              <c:f>'Water Balance'!$K$18</c:f>
              <c:strCache>
                <c:ptCount val="1"/>
                <c:pt idx="0">
                  <c:v>Water Losses</c:v>
                </c:pt>
              </c:strCache>
            </c:strRef>
          </c:tx>
          <c:spPr>
            <a:solidFill>
              <a:srgbClr val="FFC000"/>
            </a:solidFill>
          </c:spPr>
          <c:invertIfNegative val="0"/>
          <c:val>
            <c:numRef>
              <c:f>'Water Balance'!$N$18</c:f>
              <c:numCache>
                <c:formatCode>0</c:formatCode>
                <c:ptCount val="1"/>
                <c:pt idx="0">
                  <c:v>15.549504950495049</c:v>
                </c:pt>
              </c:numCache>
            </c:numRef>
          </c:val>
          <c:extLst>
            <c:ext xmlns:c16="http://schemas.microsoft.com/office/drawing/2014/chart" uri="{C3380CC4-5D6E-409C-BE32-E72D297353CC}">
              <c16:uniqueId val="{00000000-34D5-4F7C-A0DB-11EB215BDB3D}"/>
            </c:ext>
          </c:extLst>
        </c:ser>
        <c:ser>
          <c:idx val="0"/>
          <c:order val="1"/>
          <c:tx>
            <c:strRef>
              <c:f>'Water Balance'!$K$17</c:f>
              <c:strCache>
                <c:ptCount val="1"/>
                <c:pt idx="0">
                  <c:v>Authorized Consumption</c:v>
                </c:pt>
              </c:strCache>
            </c:strRef>
          </c:tx>
          <c:spPr>
            <a:solidFill>
              <a:schemeClr val="accent3">
                <a:lumMod val="60000"/>
                <a:lumOff val="40000"/>
              </a:schemeClr>
            </a:solidFill>
          </c:spPr>
          <c:invertIfNegative val="0"/>
          <c:val>
            <c:numRef>
              <c:f>'Water Balance'!$N$17</c:f>
              <c:numCache>
                <c:formatCode>0</c:formatCode>
                <c:ptCount val="1"/>
                <c:pt idx="0">
                  <c:v>93.361386138613867</c:v>
                </c:pt>
              </c:numCache>
            </c:numRef>
          </c:val>
          <c:extLst>
            <c:ext xmlns:c16="http://schemas.microsoft.com/office/drawing/2014/chart" uri="{C3380CC4-5D6E-409C-BE32-E72D297353CC}">
              <c16:uniqueId val="{00000001-34D5-4F7C-A0DB-11EB215BDB3D}"/>
            </c:ext>
          </c:extLst>
        </c:ser>
        <c:ser>
          <c:idx val="2"/>
          <c:order val="2"/>
          <c:tx>
            <c:strRef>
              <c:f>'Water Balance'!$K$15</c:f>
              <c:strCache>
                <c:ptCount val="1"/>
                <c:pt idx="0">
                  <c:v>Water Exported</c:v>
                </c:pt>
              </c:strCache>
            </c:strRef>
          </c:tx>
          <c:spPr>
            <a:pattFill prst="dkDnDiag">
              <a:fgClr>
                <a:schemeClr val="bg1">
                  <a:lumMod val="85000"/>
                </a:schemeClr>
              </a:fgClr>
              <a:bgClr>
                <a:schemeClr val="bg1"/>
              </a:bgClr>
            </a:pattFill>
          </c:spPr>
          <c:invertIfNegative val="0"/>
          <c:val>
            <c:numRef>
              <c:f>'Water Balance'!$N$15</c:f>
              <c:numCache>
                <c:formatCode>0</c:formatCode>
                <c:ptCount val="1"/>
                <c:pt idx="0">
                  <c:v>0</c:v>
                </c:pt>
              </c:numCache>
            </c:numRef>
          </c:val>
          <c:extLst>
            <c:ext xmlns:c16="http://schemas.microsoft.com/office/drawing/2014/chart" uri="{C3380CC4-5D6E-409C-BE32-E72D297353CC}">
              <c16:uniqueId val="{00000002-34D5-4F7C-A0DB-11EB215BDB3D}"/>
            </c:ext>
          </c:extLst>
        </c:ser>
        <c:dLbls>
          <c:showLegendKey val="0"/>
          <c:showVal val="0"/>
          <c:showCatName val="0"/>
          <c:showSerName val="0"/>
          <c:showPercent val="0"/>
          <c:showBubbleSize val="0"/>
        </c:dLbls>
        <c:gapWidth val="10"/>
        <c:overlap val="100"/>
        <c:axId val="499429952"/>
        <c:axId val="1"/>
      </c:barChart>
      <c:catAx>
        <c:axId val="499429952"/>
        <c:scaling>
          <c:orientation val="minMax"/>
        </c:scaling>
        <c:delete val="1"/>
        <c:axPos val="b"/>
        <c:majorTickMark val="out"/>
        <c:minorTickMark val="none"/>
        <c:tickLblPos val="nextTo"/>
        <c:crossAx val="1"/>
        <c:crosses val="autoZero"/>
        <c:auto val="1"/>
        <c:lblAlgn val="ctr"/>
        <c:lblOffset val="100"/>
        <c:noMultiLvlLbl val="0"/>
      </c:catAx>
      <c:valAx>
        <c:axId val="1"/>
        <c:scaling>
          <c:orientation val="minMax"/>
        </c:scaling>
        <c:delete val="1"/>
        <c:axPos val="l"/>
        <c:majorGridlines/>
        <c:numFmt formatCode="0%" sourceLinked="1"/>
        <c:majorTickMark val="out"/>
        <c:minorTickMark val="none"/>
        <c:tickLblPos val="nextTo"/>
        <c:crossAx val="499429952"/>
        <c:crosses val="autoZero"/>
        <c:crossBetween val="between"/>
      </c:valAx>
      <c:spPr>
        <a:noFill/>
        <a:ln w="25400">
          <a:noFill/>
        </a:ln>
      </c:spPr>
    </c:plotArea>
    <c:legend>
      <c:legendPos val="r"/>
      <c:layout>
        <c:manualLayout>
          <c:xMode val="edge"/>
          <c:yMode val="edge"/>
          <c:x val="5.8333333333333334E-2"/>
          <c:y val="0.70520307071442656"/>
          <c:w val="0.84166776027996493"/>
          <c:h val="0.19942215496184357"/>
        </c:manualLayout>
      </c:layout>
      <c:overlay val="0"/>
      <c:txPr>
        <a:bodyPr/>
        <a:lstStyle/>
        <a:p>
          <a:pPr>
            <a:defRPr sz="845" b="0" i="0" u="none" strike="noStrike" baseline="0">
              <a:solidFill>
                <a:srgbClr val="000000"/>
              </a:solidFill>
              <a:latin typeface="Calibri"/>
              <a:ea typeface="Calibri"/>
              <a:cs typeface="Calibri"/>
            </a:defRPr>
          </a:pPr>
          <a:endParaRPr lang="en-US"/>
        </a:p>
      </c:txPr>
    </c:legend>
    <c:plotVisOnly val="0"/>
    <c:dispBlanksAs val="gap"/>
    <c:showDLblsOverMax val="0"/>
  </c:chart>
  <c:spPr>
    <a:solidFill>
      <a:schemeClr val="bg1"/>
    </a:solidFill>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23010990813648294"/>
          <c:y val="2.7971079086812255E-2"/>
          <c:w val="0.76989009186351709"/>
          <c:h val="0.66675204278710432"/>
        </c:manualLayout>
      </c:layout>
      <c:barChart>
        <c:barDir val="col"/>
        <c:grouping val="percentStacked"/>
        <c:varyColors val="0"/>
        <c:ser>
          <c:idx val="0"/>
          <c:order val="0"/>
          <c:tx>
            <c:strRef>
              <c:f>'Water Balance'!$K$13</c:f>
              <c:strCache>
                <c:ptCount val="1"/>
                <c:pt idx="0">
                  <c:v>Volume From Own Sources</c:v>
                </c:pt>
              </c:strCache>
            </c:strRef>
          </c:tx>
          <c:invertIfNegative val="0"/>
          <c:dPt>
            <c:idx val="0"/>
            <c:invertIfNegative val="0"/>
            <c:bubble3D val="0"/>
            <c:spPr>
              <a:solidFill>
                <a:schemeClr val="tx2">
                  <a:lumMod val="60000"/>
                  <a:lumOff val="40000"/>
                </a:schemeClr>
              </a:solidFill>
            </c:spPr>
            <c:extLst>
              <c:ext xmlns:c16="http://schemas.microsoft.com/office/drawing/2014/chart" uri="{C3380CC4-5D6E-409C-BE32-E72D297353CC}">
                <c16:uniqueId val="{00000000-500A-435D-B1C3-F238630E9E49}"/>
              </c:ext>
            </c:extLst>
          </c:dPt>
          <c:val>
            <c:numRef>
              <c:f>'Water Balance'!$L$13</c:f>
              <c:numCache>
                <c:formatCode>0</c:formatCode>
                <c:ptCount val="1"/>
                <c:pt idx="0">
                  <c:v>0</c:v>
                </c:pt>
              </c:numCache>
            </c:numRef>
          </c:val>
          <c:extLst>
            <c:ext xmlns:c16="http://schemas.microsoft.com/office/drawing/2014/chart" uri="{C3380CC4-5D6E-409C-BE32-E72D297353CC}">
              <c16:uniqueId val="{00000001-500A-435D-B1C3-F238630E9E49}"/>
            </c:ext>
          </c:extLst>
        </c:ser>
        <c:ser>
          <c:idx val="1"/>
          <c:order val="1"/>
          <c:tx>
            <c:strRef>
              <c:f>'Water Balance'!$K$14</c:f>
              <c:strCache>
                <c:ptCount val="1"/>
                <c:pt idx="0">
                  <c:v>Water Imported</c:v>
                </c:pt>
              </c:strCache>
            </c:strRef>
          </c:tx>
          <c:spPr>
            <a:solidFill>
              <a:schemeClr val="tx2">
                <a:lumMod val="20000"/>
                <a:lumOff val="80000"/>
              </a:schemeClr>
            </a:solidFill>
          </c:spPr>
          <c:invertIfNegative val="0"/>
          <c:val>
            <c:numRef>
              <c:f>'Water Balance'!$L$14</c:f>
              <c:numCache>
                <c:formatCode>0</c:formatCode>
                <c:ptCount val="1"/>
                <c:pt idx="0">
                  <c:v>108.91089108910892</c:v>
                </c:pt>
              </c:numCache>
            </c:numRef>
          </c:val>
          <c:extLst>
            <c:ext xmlns:c16="http://schemas.microsoft.com/office/drawing/2014/chart" uri="{C3380CC4-5D6E-409C-BE32-E72D297353CC}">
              <c16:uniqueId val="{00000002-500A-435D-B1C3-F238630E9E49}"/>
            </c:ext>
          </c:extLst>
        </c:ser>
        <c:ser>
          <c:idx val="2"/>
          <c:order val="2"/>
          <c:tx>
            <c:strRef>
              <c:f>'Water Balance'!$K$15</c:f>
              <c:strCache>
                <c:ptCount val="1"/>
                <c:pt idx="0">
                  <c:v>Water Exported</c:v>
                </c:pt>
              </c:strCache>
            </c:strRef>
          </c:tx>
          <c:spPr>
            <a:pattFill prst="dkDnDiag">
              <a:fgClr>
                <a:schemeClr val="bg1">
                  <a:lumMod val="85000"/>
                </a:schemeClr>
              </a:fgClr>
              <a:bgClr>
                <a:schemeClr val="bg1"/>
              </a:bgClr>
            </a:pattFill>
          </c:spPr>
          <c:invertIfNegative val="0"/>
          <c:val>
            <c:numRef>
              <c:f>'Water Balance'!$L$15</c:f>
              <c:numCache>
                <c:formatCode>0</c:formatCode>
                <c:ptCount val="1"/>
                <c:pt idx="0">
                  <c:v>0</c:v>
                </c:pt>
              </c:numCache>
            </c:numRef>
          </c:val>
          <c:extLst>
            <c:ext xmlns:c16="http://schemas.microsoft.com/office/drawing/2014/chart" uri="{C3380CC4-5D6E-409C-BE32-E72D297353CC}">
              <c16:uniqueId val="{00000003-500A-435D-B1C3-F238630E9E49}"/>
            </c:ext>
          </c:extLst>
        </c:ser>
        <c:dLbls>
          <c:showLegendKey val="0"/>
          <c:showVal val="0"/>
          <c:showCatName val="0"/>
          <c:showSerName val="0"/>
          <c:showPercent val="0"/>
          <c:showBubbleSize val="0"/>
        </c:dLbls>
        <c:gapWidth val="10"/>
        <c:overlap val="100"/>
        <c:axId val="499434544"/>
        <c:axId val="1"/>
      </c:barChart>
      <c:catAx>
        <c:axId val="499434544"/>
        <c:scaling>
          <c:orientation val="minMax"/>
        </c:scaling>
        <c:delete val="1"/>
        <c:axPos val="t"/>
        <c:majorTickMark val="out"/>
        <c:minorTickMark val="none"/>
        <c:tickLblPos val="nextTo"/>
        <c:crossAx val="1"/>
        <c:crosses val="max"/>
        <c:auto val="1"/>
        <c:lblAlgn val="ctr"/>
        <c:lblOffset val="100"/>
        <c:noMultiLvlLbl val="0"/>
      </c:catAx>
      <c:valAx>
        <c:axId val="1"/>
        <c:scaling>
          <c:orientation val="minMax"/>
          <c:min val="0"/>
        </c:scaling>
        <c:delete val="0"/>
        <c:axPos val="l"/>
        <c:majorGridlines/>
        <c:numFmt formatCode="0%"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499434544"/>
        <c:crosses val="autoZero"/>
        <c:crossBetween val="between"/>
      </c:valAx>
      <c:spPr>
        <a:noFill/>
        <a:ln w="25400">
          <a:noFill/>
        </a:ln>
      </c:spPr>
    </c:plotArea>
    <c:legend>
      <c:legendPos val="r"/>
      <c:layout>
        <c:manualLayout>
          <c:xMode val="edge"/>
          <c:yMode val="edge"/>
          <c:x val="0.19166666666666668"/>
          <c:y val="0.7196539377664497"/>
          <c:w val="0.71666721347331586"/>
          <c:h val="0.21820828212947374"/>
        </c:manualLayout>
      </c:layout>
      <c:overlay val="0"/>
      <c:txPr>
        <a:bodyPr/>
        <a:lstStyle/>
        <a:p>
          <a:pPr>
            <a:defRPr sz="845" b="0" i="0" u="none" strike="noStrike" baseline="0">
              <a:solidFill>
                <a:srgbClr val="000000"/>
              </a:solidFill>
              <a:latin typeface="Calibri"/>
              <a:ea typeface="Calibri"/>
              <a:cs typeface="Calibri"/>
            </a:defRPr>
          </a:pPr>
          <a:endParaRPr lang="en-US"/>
        </a:p>
      </c:txPr>
    </c:legend>
    <c:plotVisOnly val="0"/>
    <c:dispBlanksAs val="gap"/>
    <c:showDLblsOverMax val="0"/>
  </c:chart>
  <c:spPr>
    <a:solidFill>
      <a:schemeClr val="bg1"/>
    </a:solidFill>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8.8204286964129477E-2"/>
          <c:y val="2.7713207547169813E-2"/>
          <c:w val="0.80068460192475943"/>
          <c:h val="0.66726792452830186"/>
        </c:manualLayout>
      </c:layout>
      <c:barChart>
        <c:barDir val="col"/>
        <c:grouping val="percentStacked"/>
        <c:varyColors val="0"/>
        <c:ser>
          <c:idx val="3"/>
          <c:order val="0"/>
          <c:tx>
            <c:strRef>
              <c:f>'Water Balance'!$K$22</c:f>
              <c:strCache>
                <c:ptCount val="1"/>
                <c:pt idx="0">
                  <c:v>Real Losses</c:v>
                </c:pt>
              </c:strCache>
            </c:strRef>
          </c:tx>
          <c:spPr>
            <a:solidFill>
              <a:srgbClr val="FF6600"/>
            </a:solidFill>
          </c:spPr>
          <c:invertIfNegative val="0"/>
          <c:val>
            <c:numRef>
              <c:f>'Water Balance'!$O$22</c:f>
              <c:numCache>
                <c:formatCode>0</c:formatCode>
                <c:ptCount val="1"/>
                <c:pt idx="0">
                  <c:v>6.0522277227722761</c:v>
                </c:pt>
              </c:numCache>
            </c:numRef>
          </c:val>
          <c:extLst>
            <c:ext xmlns:c16="http://schemas.microsoft.com/office/drawing/2014/chart" uri="{C3380CC4-5D6E-409C-BE32-E72D297353CC}">
              <c16:uniqueId val="{00000000-78E6-4CDF-B051-7033A42ADA8D}"/>
            </c:ext>
          </c:extLst>
        </c:ser>
        <c:ser>
          <c:idx val="2"/>
          <c:order val="1"/>
          <c:tx>
            <c:strRef>
              <c:f>'Water Balance'!$K$21</c:f>
              <c:strCache>
                <c:ptCount val="1"/>
                <c:pt idx="0">
                  <c:v>Apparent Losses</c:v>
                </c:pt>
              </c:strCache>
            </c:strRef>
          </c:tx>
          <c:spPr>
            <a:solidFill>
              <a:schemeClr val="accent2">
                <a:lumMod val="60000"/>
                <a:lumOff val="40000"/>
              </a:schemeClr>
            </a:solidFill>
          </c:spPr>
          <c:invertIfNegative val="0"/>
          <c:val>
            <c:numRef>
              <c:f>'Water Balance'!$O$21</c:f>
              <c:numCache>
                <c:formatCode>0</c:formatCode>
                <c:ptCount val="1"/>
                <c:pt idx="0">
                  <c:v>9.4972772277227726</c:v>
                </c:pt>
              </c:numCache>
            </c:numRef>
          </c:val>
          <c:extLst>
            <c:ext xmlns:c16="http://schemas.microsoft.com/office/drawing/2014/chart" uri="{C3380CC4-5D6E-409C-BE32-E72D297353CC}">
              <c16:uniqueId val="{00000001-78E6-4CDF-B051-7033A42ADA8D}"/>
            </c:ext>
          </c:extLst>
        </c:ser>
        <c:ser>
          <c:idx val="1"/>
          <c:order val="2"/>
          <c:tx>
            <c:strRef>
              <c:f>'Water Balance'!$K$20</c:f>
              <c:strCache>
                <c:ptCount val="1"/>
                <c:pt idx="0">
                  <c:v>Unbilled Auth. Cons.</c:v>
                </c:pt>
              </c:strCache>
            </c:strRef>
          </c:tx>
          <c:spPr>
            <a:solidFill>
              <a:schemeClr val="accent6">
                <a:lumMod val="60000"/>
                <a:lumOff val="40000"/>
              </a:schemeClr>
            </a:solidFill>
          </c:spPr>
          <c:invertIfNegative val="0"/>
          <c:val>
            <c:numRef>
              <c:f>'Water Balance'!$O$20</c:f>
              <c:numCache>
                <c:formatCode>0</c:formatCode>
                <c:ptCount val="1"/>
                <c:pt idx="0">
                  <c:v>2.3613861386138613</c:v>
                </c:pt>
              </c:numCache>
            </c:numRef>
          </c:val>
          <c:extLst>
            <c:ext xmlns:c16="http://schemas.microsoft.com/office/drawing/2014/chart" uri="{C3380CC4-5D6E-409C-BE32-E72D297353CC}">
              <c16:uniqueId val="{00000002-78E6-4CDF-B051-7033A42ADA8D}"/>
            </c:ext>
          </c:extLst>
        </c:ser>
        <c:ser>
          <c:idx val="0"/>
          <c:order val="3"/>
          <c:tx>
            <c:strRef>
              <c:f>'Water Balance'!$K$19</c:f>
              <c:strCache>
                <c:ptCount val="1"/>
                <c:pt idx="0">
                  <c:v>Billed Auth. Cons.</c:v>
                </c:pt>
              </c:strCache>
            </c:strRef>
          </c:tx>
          <c:spPr>
            <a:solidFill>
              <a:srgbClr val="92D050"/>
            </a:solidFill>
          </c:spPr>
          <c:invertIfNegative val="0"/>
          <c:val>
            <c:numRef>
              <c:f>'Water Balance'!$O$19</c:f>
              <c:numCache>
                <c:formatCode>0</c:formatCode>
                <c:ptCount val="1"/>
                <c:pt idx="0">
                  <c:v>91</c:v>
                </c:pt>
              </c:numCache>
            </c:numRef>
          </c:val>
          <c:extLst>
            <c:ext xmlns:c16="http://schemas.microsoft.com/office/drawing/2014/chart" uri="{C3380CC4-5D6E-409C-BE32-E72D297353CC}">
              <c16:uniqueId val="{00000003-78E6-4CDF-B051-7033A42ADA8D}"/>
            </c:ext>
          </c:extLst>
        </c:ser>
        <c:ser>
          <c:idx val="4"/>
          <c:order val="4"/>
          <c:tx>
            <c:strRef>
              <c:f>'Water Balance'!$K$15</c:f>
              <c:strCache>
                <c:ptCount val="1"/>
                <c:pt idx="0">
                  <c:v>Water Exported</c:v>
                </c:pt>
              </c:strCache>
            </c:strRef>
          </c:tx>
          <c:spPr>
            <a:pattFill prst="dkDnDiag">
              <a:fgClr>
                <a:schemeClr val="bg1">
                  <a:lumMod val="85000"/>
                </a:schemeClr>
              </a:fgClr>
              <a:bgClr>
                <a:schemeClr val="bg1"/>
              </a:bgClr>
            </a:pattFill>
          </c:spPr>
          <c:invertIfNegative val="0"/>
          <c:val>
            <c:numRef>
              <c:f>'Water Balance'!$O$15</c:f>
              <c:numCache>
                <c:formatCode>0</c:formatCode>
                <c:ptCount val="1"/>
                <c:pt idx="0">
                  <c:v>0</c:v>
                </c:pt>
              </c:numCache>
            </c:numRef>
          </c:val>
          <c:extLst>
            <c:ext xmlns:c16="http://schemas.microsoft.com/office/drawing/2014/chart" uri="{C3380CC4-5D6E-409C-BE32-E72D297353CC}">
              <c16:uniqueId val="{00000004-78E6-4CDF-B051-7033A42ADA8D}"/>
            </c:ext>
          </c:extLst>
        </c:ser>
        <c:dLbls>
          <c:showLegendKey val="0"/>
          <c:showVal val="0"/>
          <c:showCatName val="0"/>
          <c:showSerName val="0"/>
          <c:showPercent val="0"/>
          <c:showBubbleSize val="0"/>
        </c:dLbls>
        <c:gapWidth val="10"/>
        <c:overlap val="100"/>
        <c:axId val="499426672"/>
        <c:axId val="1"/>
      </c:barChart>
      <c:catAx>
        <c:axId val="499426672"/>
        <c:scaling>
          <c:orientation val="minMax"/>
        </c:scaling>
        <c:delete val="1"/>
        <c:axPos val="b"/>
        <c:majorTickMark val="out"/>
        <c:minorTickMark val="none"/>
        <c:tickLblPos val="nextTo"/>
        <c:crossAx val="1"/>
        <c:crosses val="autoZero"/>
        <c:auto val="1"/>
        <c:lblAlgn val="ctr"/>
        <c:lblOffset val="100"/>
        <c:noMultiLvlLbl val="0"/>
      </c:catAx>
      <c:valAx>
        <c:axId val="1"/>
        <c:scaling>
          <c:orientation val="minMax"/>
        </c:scaling>
        <c:delete val="1"/>
        <c:axPos val="l"/>
        <c:majorGridlines/>
        <c:numFmt formatCode="0%" sourceLinked="1"/>
        <c:majorTickMark val="out"/>
        <c:minorTickMark val="none"/>
        <c:tickLblPos val="nextTo"/>
        <c:crossAx val="499426672"/>
        <c:crosses val="autoZero"/>
        <c:crossBetween val="between"/>
      </c:valAx>
      <c:spPr>
        <a:noFill/>
        <a:ln w="25400">
          <a:noFill/>
        </a:ln>
      </c:spPr>
    </c:plotArea>
    <c:legend>
      <c:legendPos val="r"/>
      <c:layout>
        <c:manualLayout>
          <c:xMode val="edge"/>
          <c:yMode val="edge"/>
          <c:x val="4.1666666666666664E-2"/>
          <c:y val="0.69364237707280807"/>
          <c:w val="0.88333442694663167"/>
          <c:h val="0.29479806714912082"/>
        </c:manualLayout>
      </c:layout>
      <c:overlay val="0"/>
      <c:txPr>
        <a:bodyPr/>
        <a:lstStyle/>
        <a:p>
          <a:pPr>
            <a:defRPr sz="845" b="0" i="0" u="none" strike="noStrike" baseline="0">
              <a:solidFill>
                <a:srgbClr val="000000"/>
              </a:solidFill>
              <a:latin typeface="Calibri"/>
              <a:ea typeface="Calibri"/>
              <a:cs typeface="Calibri"/>
            </a:defRPr>
          </a:pPr>
          <a:endParaRPr lang="en-US"/>
        </a:p>
      </c:txPr>
    </c:legend>
    <c:plotVisOnly val="0"/>
    <c:dispBlanksAs val="gap"/>
    <c:showDLblsOverMax val="0"/>
  </c:chart>
  <c:spPr>
    <a:solidFill>
      <a:schemeClr val="bg1"/>
    </a:solidFill>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8.1259842519685044E-2"/>
          <c:y val="2.7713207547169813E-2"/>
          <c:w val="0.80485892388451441"/>
          <c:h val="0.66726792452830186"/>
        </c:manualLayout>
      </c:layout>
      <c:barChart>
        <c:barDir val="col"/>
        <c:grouping val="percentStacked"/>
        <c:varyColors val="0"/>
        <c:ser>
          <c:idx val="1"/>
          <c:order val="0"/>
          <c:tx>
            <c:strRef>
              <c:f>'Water Balance'!$K$24</c:f>
              <c:strCache>
                <c:ptCount val="1"/>
                <c:pt idx="0">
                  <c:v>Non Revenue Water</c:v>
                </c:pt>
              </c:strCache>
            </c:strRef>
          </c:tx>
          <c:spPr>
            <a:solidFill>
              <a:srgbClr val="FF0000"/>
            </a:solidFill>
          </c:spPr>
          <c:invertIfNegative val="0"/>
          <c:val>
            <c:numRef>
              <c:f>'Water Balance'!$P$24</c:f>
              <c:numCache>
                <c:formatCode>0</c:formatCode>
                <c:ptCount val="1"/>
                <c:pt idx="0">
                  <c:v>17.910891089108908</c:v>
                </c:pt>
              </c:numCache>
            </c:numRef>
          </c:val>
          <c:extLst>
            <c:ext xmlns:c16="http://schemas.microsoft.com/office/drawing/2014/chart" uri="{C3380CC4-5D6E-409C-BE32-E72D297353CC}">
              <c16:uniqueId val="{00000000-1B12-4690-B6EA-F316B598C1AC}"/>
            </c:ext>
          </c:extLst>
        </c:ser>
        <c:ser>
          <c:idx val="0"/>
          <c:order val="1"/>
          <c:tx>
            <c:strRef>
              <c:f>'Water Balance'!$K$23</c:f>
              <c:strCache>
                <c:ptCount val="1"/>
                <c:pt idx="0">
                  <c:v>Revenue Water</c:v>
                </c:pt>
              </c:strCache>
            </c:strRef>
          </c:tx>
          <c:spPr>
            <a:solidFill>
              <a:srgbClr val="00B050"/>
            </a:solidFill>
          </c:spPr>
          <c:invertIfNegative val="0"/>
          <c:val>
            <c:numRef>
              <c:f>'Water Balance'!$P$23</c:f>
              <c:numCache>
                <c:formatCode>0</c:formatCode>
                <c:ptCount val="1"/>
                <c:pt idx="0">
                  <c:v>91</c:v>
                </c:pt>
              </c:numCache>
            </c:numRef>
          </c:val>
          <c:extLst>
            <c:ext xmlns:c16="http://schemas.microsoft.com/office/drawing/2014/chart" uri="{C3380CC4-5D6E-409C-BE32-E72D297353CC}">
              <c16:uniqueId val="{00000001-1B12-4690-B6EA-F316B598C1AC}"/>
            </c:ext>
          </c:extLst>
        </c:ser>
        <c:ser>
          <c:idx val="2"/>
          <c:order val="2"/>
          <c:tx>
            <c:strRef>
              <c:f>'Water Balance'!$K$15</c:f>
              <c:strCache>
                <c:ptCount val="1"/>
                <c:pt idx="0">
                  <c:v>Water Exported</c:v>
                </c:pt>
              </c:strCache>
            </c:strRef>
          </c:tx>
          <c:spPr>
            <a:pattFill prst="dkDnDiag">
              <a:fgClr>
                <a:schemeClr val="bg1">
                  <a:lumMod val="85000"/>
                </a:schemeClr>
              </a:fgClr>
              <a:bgClr>
                <a:schemeClr val="bg1"/>
              </a:bgClr>
            </a:pattFill>
          </c:spPr>
          <c:invertIfNegative val="0"/>
          <c:val>
            <c:numRef>
              <c:f>'Water Balance'!$P$15</c:f>
              <c:numCache>
                <c:formatCode>0</c:formatCode>
                <c:ptCount val="1"/>
                <c:pt idx="0">
                  <c:v>0</c:v>
                </c:pt>
              </c:numCache>
            </c:numRef>
          </c:val>
          <c:extLst>
            <c:ext xmlns:c16="http://schemas.microsoft.com/office/drawing/2014/chart" uri="{C3380CC4-5D6E-409C-BE32-E72D297353CC}">
              <c16:uniqueId val="{00000002-1B12-4690-B6EA-F316B598C1AC}"/>
            </c:ext>
          </c:extLst>
        </c:ser>
        <c:dLbls>
          <c:showLegendKey val="0"/>
          <c:showVal val="0"/>
          <c:showCatName val="0"/>
          <c:showSerName val="0"/>
          <c:showPercent val="0"/>
          <c:showBubbleSize val="0"/>
        </c:dLbls>
        <c:gapWidth val="10"/>
        <c:overlap val="100"/>
        <c:axId val="499429296"/>
        <c:axId val="1"/>
      </c:barChart>
      <c:catAx>
        <c:axId val="499429296"/>
        <c:scaling>
          <c:orientation val="minMax"/>
        </c:scaling>
        <c:delete val="1"/>
        <c:axPos val="b"/>
        <c:majorTickMark val="out"/>
        <c:minorTickMark val="none"/>
        <c:tickLblPos val="nextTo"/>
        <c:crossAx val="1"/>
        <c:crosses val="autoZero"/>
        <c:auto val="1"/>
        <c:lblAlgn val="ctr"/>
        <c:lblOffset val="100"/>
        <c:noMultiLvlLbl val="0"/>
      </c:catAx>
      <c:valAx>
        <c:axId val="1"/>
        <c:scaling>
          <c:orientation val="minMax"/>
        </c:scaling>
        <c:delete val="1"/>
        <c:axPos val="l"/>
        <c:majorGridlines/>
        <c:numFmt formatCode="0%" sourceLinked="1"/>
        <c:majorTickMark val="out"/>
        <c:minorTickMark val="none"/>
        <c:tickLblPos val="nextTo"/>
        <c:crossAx val="499429296"/>
        <c:crosses val="autoZero"/>
        <c:crossBetween val="between"/>
      </c:valAx>
      <c:spPr>
        <a:noFill/>
        <a:ln w="25400">
          <a:noFill/>
        </a:ln>
      </c:spPr>
    </c:plotArea>
    <c:legend>
      <c:legendPos val="r"/>
      <c:layout>
        <c:manualLayout>
          <c:xMode val="edge"/>
          <c:yMode val="edge"/>
          <c:x val="0.12863070539419089"/>
          <c:y val="0.70231289730402202"/>
          <c:w val="0.75933773319828801"/>
          <c:h val="0.19942215496184357"/>
        </c:manualLayout>
      </c:layout>
      <c:overlay val="0"/>
      <c:txPr>
        <a:bodyPr/>
        <a:lstStyle/>
        <a:p>
          <a:pPr>
            <a:defRPr sz="845" b="0" i="0" u="none" strike="noStrike" baseline="0">
              <a:solidFill>
                <a:srgbClr val="000000"/>
              </a:solidFill>
              <a:latin typeface="Calibri"/>
              <a:ea typeface="Calibri"/>
              <a:cs typeface="Calibri"/>
            </a:defRPr>
          </a:pPr>
          <a:endParaRPr lang="en-US"/>
        </a:p>
      </c:txPr>
    </c:legend>
    <c:plotVisOnly val="0"/>
    <c:dispBlanksAs val="gap"/>
    <c:showDLblsOverMax val="0"/>
  </c:chart>
  <c:spPr>
    <a:solidFill>
      <a:schemeClr val="bg1"/>
    </a:solidFill>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xMode val="edge"/>
          <c:yMode val="edge"/>
          <c:x val="7.7017373988344268E-2"/>
          <c:y val="2.7713207547169813E-2"/>
          <c:w val="0.84975184366455359"/>
          <c:h val="0.66726792452830186"/>
        </c:manualLayout>
      </c:layout>
      <c:barChart>
        <c:barDir val="col"/>
        <c:grouping val="percentStacked"/>
        <c:varyColors val="0"/>
        <c:ser>
          <c:idx val="0"/>
          <c:order val="0"/>
          <c:tx>
            <c:strRef>
              <c:f>'Water Balance'!$K$16</c:f>
              <c:strCache>
                <c:ptCount val="1"/>
                <c:pt idx="0">
                  <c:v>Water Supplied</c:v>
                </c:pt>
              </c:strCache>
            </c:strRef>
          </c:tx>
          <c:spPr>
            <a:solidFill>
              <a:schemeClr val="accent3">
                <a:lumMod val="40000"/>
                <a:lumOff val="60000"/>
              </a:schemeClr>
            </a:solidFill>
          </c:spPr>
          <c:invertIfNegative val="0"/>
          <c:val>
            <c:numRef>
              <c:f>'Water Balance'!$M$16</c:f>
              <c:numCache>
                <c:formatCode>0</c:formatCode>
                <c:ptCount val="1"/>
                <c:pt idx="0">
                  <c:v>108.91089108910892</c:v>
                </c:pt>
              </c:numCache>
            </c:numRef>
          </c:val>
          <c:extLst>
            <c:ext xmlns:c16="http://schemas.microsoft.com/office/drawing/2014/chart" uri="{C3380CC4-5D6E-409C-BE32-E72D297353CC}">
              <c16:uniqueId val="{00000000-FCB0-4C84-8F86-C5CB910975B8}"/>
            </c:ext>
          </c:extLst>
        </c:ser>
        <c:ser>
          <c:idx val="1"/>
          <c:order val="1"/>
          <c:tx>
            <c:strRef>
              <c:f>'Water Balance'!$K$15</c:f>
              <c:strCache>
                <c:ptCount val="1"/>
                <c:pt idx="0">
                  <c:v>Water Exported</c:v>
                </c:pt>
              </c:strCache>
            </c:strRef>
          </c:tx>
          <c:spPr>
            <a:pattFill prst="dkDnDiag">
              <a:fgClr>
                <a:schemeClr val="bg1">
                  <a:lumMod val="85000"/>
                </a:schemeClr>
              </a:fgClr>
              <a:bgClr>
                <a:schemeClr val="bg1"/>
              </a:bgClr>
            </a:pattFill>
          </c:spPr>
          <c:invertIfNegative val="0"/>
          <c:val>
            <c:numRef>
              <c:f>'Water Balance'!$M$15</c:f>
              <c:numCache>
                <c:formatCode>0</c:formatCode>
                <c:ptCount val="1"/>
                <c:pt idx="0">
                  <c:v>0</c:v>
                </c:pt>
              </c:numCache>
            </c:numRef>
          </c:val>
          <c:extLst>
            <c:ext xmlns:c16="http://schemas.microsoft.com/office/drawing/2014/chart" uri="{C3380CC4-5D6E-409C-BE32-E72D297353CC}">
              <c16:uniqueId val="{00000001-FCB0-4C84-8F86-C5CB910975B8}"/>
            </c:ext>
          </c:extLst>
        </c:ser>
        <c:dLbls>
          <c:showLegendKey val="0"/>
          <c:showVal val="0"/>
          <c:showCatName val="0"/>
          <c:showSerName val="0"/>
          <c:showPercent val="0"/>
          <c:showBubbleSize val="0"/>
        </c:dLbls>
        <c:gapWidth val="10"/>
        <c:overlap val="100"/>
        <c:axId val="499438152"/>
        <c:axId val="1"/>
      </c:barChart>
      <c:catAx>
        <c:axId val="499438152"/>
        <c:scaling>
          <c:orientation val="minMax"/>
        </c:scaling>
        <c:delete val="1"/>
        <c:axPos val="b"/>
        <c:majorTickMark val="out"/>
        <c:minorTickMark val="none"/>
        <c:tickLblPos val="nextTo"/>
        <c:crossAx val="1"/>
        <c:crosses val="autoZero"/>
        <c:auto val="1"/>
        <c:lblAlgn val="ctr"/>
        <c:lblOffset val="100"/>
        <c:noMultiLvlLbl val="0"/>
      </c:catAx>
      <c:valAx>
        <c:axId val="1"/>
        <c:scaling>
          <c:orientation val="minMax"/>
          <c:min val="0"/>
        </c:scaling>
        <c:delete val="1"/>
        <c:axPos val="l"/>
        <c:majorGridlines/>
        <c:numFmt formatCode="0%" sourceLinked="1"/>
        <c:majorTickMark val="out"/>
        <c:minorTickMark val="none"/>
        <c:tickLblPos val="nextTo"/>
        <c:crossAx val="499438152"/>
        <c:crosses val="autoZero"/>
        <c:crossBetween val="between"/>
      </c:valAx>
    </c:plotArea>
    <c:legend>
      <c:legendPos val="r"/>
      <c:layout>
        <c:manualLayout>
          <c:xMode val="edge"/>
          <c:yMode val="edge"/>
          <c:x val="0.10185245941479537"/>
          <c:y val="0.70520307071442656"/>
          <c:w val="0.67130176436278799"/>
          <c:h val="0.12861290640693035"/>
        </c:manualLayout>
      </c:layout>
      <c:overlay val="0"/>
      <c:txPr>
        <a:bodyPr/>
        <a:lstStyle/>
        <a:p>
          <a:pPr>
            <a:defRPr sz="845" b="0" i="0" u="none" strike="noStrike" baseline="0">
              <a:solidFill>
                <a:srgbClr val="000000"/>
              </a:solidFill>
              <a:latin typeface="Calibri"/>
              <a:ea typeface="Calibri"/>
              <a:cs typeface="Calibri"/>
            </a:defRPr>
          </a:pPr>
          <a:endParaRPr lang="en-US"/>
        </a:p>
      </c:txPr>
    </c:legend>
    <c:plotVisOnly val="0"/>
    <c:dispBlanksAs val="gap"/>
    <c:showDLblsOverMax val="0"/>
  </c:chart>
  <c:spPr>
    <a:solidFill>
      <a:schemeClr val="bg1"/>
    </a:solidFill>
    <a:ln>
      <a:noFill/>
    </a:ln>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trlProps/ctrlProp1.xml><?xml version="1.0" encoding="utf-8"?>
<formControlPr xmlns="http://schemas.microsoft.com/office/spreadsheetml/2009/9/main" objectType="Radio" firstButton="1" lockText="1" noThreeD="1"/>
</file>

<file path=xl/ctrlProps/ctrlProp10.xml><?xml version="1.0" encoding="utf-8"?>
<formControlPr xmlns="http://schemas.microsoft.com/office/spreadsheetml/2009/9/main" objectType="Radio" checked="Checked" firstButton="1" fmlaLink="$R$17" lockText="1" noThreeD="1"/>
</file>

<file path=xl/ctrlProps/ctrlProp11.xml><?xml version="1.0" encoding="utf-8"?>
<formControlPr xmlns="http://schemas.microsoft.com/office/spreadsheetml/2009/9/main" objectType="Radio" lockText="1" noThreeD="1"/>
</file>

<file path=xl/ctrlProps/ctrlProp12.xml><?xml version="1.0" encoding="utf-8"?>
<formControlPr xmlns="http://schemas.microsoft.com/office/spreadsheetml/2009/9/main" objectType="CheckBox" fmlaLink="'Performance Indicators'!$R$21" lockText="1" noThreeD="1"/>
</file>

<file path=xl/ctrlProps/ctrlProp13.xml><?xml version="1.0" encoding="utf-8"?>
<formControlPr xmlns="http://schemas.microsoft.com/office/spreadsheetml/2009/9/main" objectType="GBox" noThreeD="1"/>
</file>

<file path=xl/ctrlProps/ctrlProp14.xml><?xml version="1.0" encoding="utf-8"?>
<formControlPr xmlns="http://schemas.microsoft.com/office/spreadsheetml/2009/9/main" objectType="Radio" checked="Checked" firstButton="1" fmlaLink="$R$38" lockText="1" noThreeD="1"/>
</file>

<file path=xl/ctrlProps/ctrlProp15.xml><?xml version="1.0" encoding="utf-8"?>
<formControlPr xmlns="http://schemas.microsoft.com/office/spreadsheetml/2009/9/main" objectType="Radio" lockText="1" noThreeD="1"/>
</file>

<file path=xl/ctrlProps/ctrlProp16.xml><?xml version="1.0" encoding="utf-8"?>
<formControlPr xmlns="http://schemas.microsoft.com/office/spreadsheetml/2009/9/main" objectType="GBox" noThreeD="1"/>
</file>

<file path=xl/ctrlProps/ctrlProp17.xml><?xml version="1.0" encoding="utf-8"?>
<formControlPr xmlns="http://schemas.microsoft.com/office/spreadsheetml/2009/9/main" objectType="Radio" checked="Checked" firstButton="1" fmlaLink="$R$42" lockText="1" noThreeD="1"/>
</file>

<file path=xl/ctrlProps/ctrlProp18.xml><?xml version="1.0" encoding="utf-8"?>
<formControlPr xmlns="http://schemas.microsoft.com/office/spreadsheetml/2009/9/main" objectType="Radio" lockText="1" noThreeD="1"/>
</file>

<file path=xl/ctrlProps/ctrlProp19.xml><?xml version="1.0" encoding="utf-8"?>
<formControlPr xmlns="http://schemas.microsoft.com/office/spreadsheetml/2009/9/main" objectType="GBox" noThreeD="1"/>
</file>

<file path=xl/ctrlProps/ctrlProp2.xml><?xml version="1.0" encoding="utf-8"?>
<formControlPr xmlns="http://schemas.microsoft.com/office/spreadsheetml/2009/9/main" objectType="Radio" checked="Checked" lockText="1" noThreeD="1"/>
</file>

<file path=xl/ctrlProps/ctrlProp20.xml><?xml version="1.0" encoding="utf-8"?>
<formControlPr xmlns="http://schemas.microsoft.com/office/spreadsheetml/2009/9/main" objectType="Radio" checked="Checked" firstButton="1" fmlaLink="$R$26" lockText="1" noThreeD="1"/>
</file>

<file path=xl/ctrlProps/ctrlProp21.xml><?xml version="1.0" encoding="utf-8"?>
<formControlPr xmlns="http://schemas.microsoft.com/office/spreadsheetml/2009/9/main" objectType="Radio" lockText="1" noThreeD="1"/>
</file>

<file path=xl/ctrlProps/ctrlProp22.xml><?xml version="1.0" encoding="utf-8"?>
<formControlPr xmlns="http://schemas.microsoft.com/office/spreadsheetml/2009/9/main" objectType="Radio" checked="Checked" firstButton="1" fmlaLink="$R$43" lockText="1" noThreeD="1"/>
</file>

<file path=xl/ctrlProps/ctrlProp23.xml><?xml version="1.0" encoding="utf-8"?>
<formControlPr xmlns="http://schemas.microsoft.com/office/spreadsheetml/2009/9/main" objectType="Radio" lockText="1" noThreeD="1"/>
</file>

<file path=xl/ctrlProps/ctrlProp24.xml><?xml version="1.0" encoding="utf-8"?>
<formControlPr xmlns="http://schemas.microsoft.com/office/spreadsheetml/2009/9/main" objectType="Radio" firstButton="1" fmlaLink="$S$6" lockText="1" noThreeD="1"/>
</file>

<file path=xl/ctrlProps/ctrlProp25.xml><?xml version="1.0" encoding="utf-8"?>
<formControlPr xmlns="http://schemas.microsoft.com/office/spreadsheetml/2009/9/main" objectType="Radio" checked="Checked" lockText="1" noThreeD="1"/>
</file>

<file path=xl/ctrlProps/ctrlProp3.xml><?xml version="1.0" encoding="utf-8"?>
<formControlPr xmlns="http://schemas.microsoft.com/office/spreadsheetml/2009/9/main" objectType="GBox" noThreeD="1"/>
</file>

<file path=xl/ctrlProps/ctrlProp4.xml><?xml version="1.0" encoding="utf-8"?>
<formControlPr xmlns="http://schemas.microsoft.com/office/spreadsheetml/2009/9/main" objectType="Radio" checked="Checked" firstButton="1" fmlaLink="$R$15" lockText="1" noThreeD="1"/>
</file>

<file path=xl/ctrlProps/ctrlProp5.xml><?xml version="1.0" encoding="utf-8"?>
<formControlPr xmlns="http://schemas.microsoft.com/office/spreadsheetml/2009/9/main" objectType="Radio" lockText="1" noThreeD="1"/>
</file>

<file path=xl/ctrlProps/ctrlProp6.xml><?xml version="1.0" encoding="utf-8"?>
<formControlPr xmlns="http://schemas.microsoft.com/office/spreadsheetml/2009/9/main" objectType="GBox" noThreeD="1"/>
</file>

<file path=xl/ctrlProps/ctrlProp7.xml><?xml version="1.0" encoding="utf-8"?>
<formControlPr xmlns="http://schemas.microsoft.com/office/spreadsheetml/2009/9/main" objectType="Radio" checked="Checked" firstButton="1" fmlaLink="$R$16" lockText="1" noThreeD="1"/>
</file>

<file path=xl/ctrlProps/ctrlProp8.xml><?xml version="1.0" encoding="utf-8"?>
<formControlPr xmlns="http://schemas.microsoft.com/office/spreadsheetml/2009/9/main" objectType="Radio" lockText="1" noThreeD="1"/>
</file>

<file path=xl/ctrlProps/ctrlProp9.xml><?xml version="1.0" encoding="utf-8"?>
<formControlPr xmlns="http://schemas.microsoft.com/office/spreadsheetml/2009/9/main" objectType="GBox" noThreeD="1"/>
</file>

<file path=xl/drawings/_rels/drawing1.xml.rels><?xml version="1.0" encoding="UTF-8" standalone="yes"?>
<Relationships xmlns="http://schemas.openxmlformats.org/package/2006/relationships"><Relationship Id="rId8" Type="http://schemas.openxmlformats.org/officeDocument/2006/relationships/hyperlink" Target="#Acknowledgements!A1"/><Relationship Id="rId3" Type="http://schemas.openxmlformats.org/officeDocument/2006/relationships/hyperlink" Target="#Comments!A1"/><Relationship Id="rId7" Type="http://schemas.openxmlformats.org/officeDocument/2006/relationships/hyperlink" Target="#'Service Connection Diagram'!A1"/><Relationship Id="rId12" Type="http://schemas.openxmlformats.org/officeDocument/2006/relationships/hyperlink" Target="#'Reporting Worksheet'!A1"/><Relationship Id="rId2" Type="http://schemas.openxmlformats.org/officeDocument/2006/relationships/hyperlink" Target="#'Performance Indicators'!A1"/><Relationship Id="rId1" Type="http://schemas.openxmlformats.org/officeDocument/2006/relationships/hyperlink" Target="#Instructions!A1"/><Relationship Id="rId6" Type="http://schemas.openxmlformats.org/officeDocument/2006/relationships/hyperlink" Target="#'Grading Matrix'!A1"/><Relationship Id="rId11" Type="http://schemas.openxmlformats.org/officeDocument/2006/relationships/hyperlink" Target="#'Example Audits'!A1"/><Relationship Id="rId5" Type="http://schemas.openxmlformats.org/officeDocument/2006/relationships/hyperlink" Target="#Dashboard!A1"/><Relationship Id="rId10" Type="http://schemas.openxmlformats.org/officeDocument/2006/relationships/hyperlink" Target="#Definitions!A1"/><Relationship Id="rId4" Type="http://schemas.openxmlformats.org/officeDocument/2006/relationships/hyperlink" Target="#'Water Balance'!A1"/><Relationship Id="rId9" Type="http://schemas.openxmlformats.org/officeDocument/2006/relationships/hyperlink" Target="#'Loss Control Planning'!A1"/></Relationships>
</file>

<file path=xl/drawings/_rels/drawing10.xml.rels><?xml version="1.0" encoding="UTF-8" standalone="yes"?>
<Relationships xmlns="http://schemas.openxmlformats.org/package/2006/relationships"><Relationship Id="rId8" Type="http://schemas.openxmlformats.org/officeDocument/2006/relationships/hyperlink" Target="#'Service Connection Diagram'!D4"/><Relationship Id="rId13" Type="http://schemas.openxmlformats.org/officeDocument/2006/relationships/hyperlink" Target="#'Performance Indicators'!C45:I45"/><Relationship Id="rId18" Type="http://schemas.openxmlformats.org/officeDocument/2006/relationships/hyperlink" Target="#'Reporting Worksheet'!C64:G64"/><Relationship Id="rId26" Type="http://schemas.openxmlformats.org/officeDocument/2006/relationships/hyperlink" Target="#'Reporting Worksheet'!C15:G15"/><Relationship Id="rId3" Type="http://schemas.openxmlformats.org/officeDocument/2006/relationships/image" Target="../media/image11.png"/><Relationship Id="rId21" Type="http://schemas.openxmlformats.org/officeDocument/2006/relationships/hyperlink" Target="#'Reporting Worksheet'!C38:G38"/><Relationship Id="rId7" Type="http://schemas.openxmlformats.org/officeDocument/2006/relationships/hyperlink" Target="#'Reporting Worksheet'!C69:G69"/><Relationship Id="rId12" Type="http://schemas.openxmlformats.org/officeDocument/2006/relationships/hyperlink" Target="#'Reporting Worksheet'!C77:G77"/><Relationship Id="rId17" Type="http://schemas.openxmlformats.org/officeDocument/2006/relationships/hyperlink" Target="#'Reporting Worksheet'!C51:G52"/><Relationship Id="rId25" Type="http://schemas.openxmlformats.org/officeDocument/2006/relationships/hyperlink" Target="#'Reporting Worksheet'!C78:G78"/><Relationship Id="rId2" Type="http://schemas.openxmlformats.org/officeDocument/2006/relationships/image" Target="../media/image10.png"/><Relationship Id="rId16" Type="http://schemas.openxmlformats.org/officeDocument/2006/relationships/hyperlink" Target="#'Reporting Worksheet'!C63:G63"/><Relationship Id="rId20" Type="http://schemas.openxmlformats.org/officeDocument/2006/relationships/hyperlink" Target="#'Reporting Worksheet'!C76:G76"/><Relationship Id="rId29" Type="http://schemas.openxmlformats.org/officeDocument/2006/relationships/hyperlink" Target="#'Reporting Worksheet'!J17:O17"/><Relationship Id="rId1" Type="http://schemas.openxmlformats.org/officeDocument/2006/relationships/hyperlink" Target="#Instructions!A1"/><Relationship Id="rId6" Type="http://schemas.openxmlformats.org/officeDocument/2006/relationships/hyperlink" Target="#'Reporting Worksheet'!C67:G67"/><Relationship Id="rId11" Type="http://schemas.openxmlformats.org/officeDocument/2006/relationships/hyperlink" Target="#'Reporting Worksheet'!C42:G42"/><Relationship Id="rId24" Type="http://schemas.openxmlformats.org/officeDocument/2006/relationships/hyperlink" Target="#'Reporting Worksheet'!C26:G26"/><Relationship Id="rId32" Type="http://schemas.openxmlformats.org/officeDocument/2006/relationships/hyperlink" Target="#'Reporting Worksheet'!C35:G35"/><Relationship Id="rId5" Type="http://schemas.openxmlformats.org/officeDocument/2006/relationships/hyperlink" Target="#'Reporting Worksheet'!C22:O31"/><Relationship Id="rId15" Type="http://schemas.openxmlformats.org/officeDocument/2006/relationships/hyperlink" Target="#'Reporting Worksheet'!C58:G58"/><Relationship Id="rId23" Type="http://schemas.openxmlformats.org/officeDocument/2006/relationships/hyperlink" Target="#'Reporting Worksheet'!C25:G25"/><Relationship Id="rId28" Type="http://schemas.openxmlformats.org/officeDocument/2006/relationships/hyperlink" Target="#'Reporting Worksheet'!C17:G17"/><Relationship Id="rId10" Type="http://schemas.openxmlformats.org/officeDocument/2006/relationships/hyperlink" Target="#'Reporting Worksheet'!C24:G24"/><Relationship Id="rId19" Type="http://schemas.openxmlformats.org/officeDocument/2006/relationships/hyperlink" Target="#'Reporting Worksheet'!C43:G43"/><Relationship Id="rId31" Type="http://schemas.openxmlformats.org/officeDocument/2006/relationships/hyperlink" Target="#'Reporting Worksheet'!J16:O16"/><Relationship Id="rId4" Type="http://schemas.openxmlformats.org/officeDocument/2006/relationships/hyperlink" Target="#'Reporting Worksheet'!C37:O49"/><Relationship Id="rId9" Type="http://schemas.openxmlformats.org/officeDocument/2006/relationships/hyperlink" Target="#'Reporting Worksheet'!C23:G23"/><Relationship Id="rId14" Type="http://schemas.openxmlformats.org/officeDocument/2006/relationships/hyperlink" Target="#'Reporting Worksheet'!C62:G62"/><Relationship Id="rId22" Type="http://schemas.openxmlformats.org/officeDocument/2006/relationships/hyperlink" Target="#'Performance Indicators'!C17:I17"/><Relationship Id="rId27" Type="http://schemas.openxmlformats.org/officeDocument/2006/relationships/hyperlink" Target="#'Reporting Worksheet'!J15:O15"/><Relationship Id="rId30" Type="http://schemas.openxmlformats.org/officeDocument/2006/relationships/hyperlink" Target="#'Reporting Worksheet'!C16:G16"/></Relationships>
</file>

<file path=xl/drawings/_rels/drawing11.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hyperlink" Target="#Instructions!A1"/></Relationships>
</file>

<file path=xl/drawings/_rels/drawing12.xml.rels><?xml version="1.0" encoding="UTF-8" standalone="yes"?>
<Relationships xmlns="http://schemas.openxmlformats.org/package/2006/relationships"><Relationship Id="rId8" Type="http://schemas.openxmlformats.org/officeDocument/2006/relationships/hyperlink" Target="#'Example Audits'!A119"/><Relationship Id="rId3" Type="http://schemas.openxmlformats.org/officeDocument/2006/relationships/hyperlink" Target="#Instructions!A1"/><Relationship Id="rId7" Type="http://schemas.openxmlformats.org/officeDocument/2006/relationships/hyperlink" Target="#'Example Audits'!A3"/><Relationship Id="rId2" Type="http://schemas.openxmlformats.org/officeDocument/2006/relationships/image" Target="../media/image14.emf"/><Relationship Id="rId1" Type="http://schemas.openxmlformats.org/officeDocument/2006/relationships/image" Target="../media/image13.emf"/><Relationship Id="rId6" Type="http://schemas.openxmlformats.org/officeDocument/2006/relationships/image" Target="../media/image17.emf"/><Relationship Id="rId5" Type="http://schemas.openxmlformats.org/officeDocument/2006/relationships/image" Target="../media/image16.emf"/><Relationship Id="rId10" Type="http://schemas.openxmlformats.org/officeDocument/2006/relationships/hyperlink" Target="#'Example Audits'!A272"/><Relationship Id="rId4" Type="http://schemas.openxmlformats.org/officeDocument/2006/relationships/image" Target="../media/image15.png"/><Relationship Id="rId9" Type="http://schemas.openxmlformats.org/officeDocument/2006/relationships/hyperlink" Target="#'Example Audits'!A188"/></Relationships>
</file>

<file path=xl/drawings/_rels/drawing13.xml.rels><?xml version="1.0" encoding="UTF-8" standalone="yes"?>
<Relationships xmlns="http://schemas.openxmlformats.org/package/2006/relationships"><Relationship Id="rId3" Type="http://schemas.openxmlformats.org/officeDocument/2006/relationships/hyperlink" Target="http://www.awwa.org/" TargetMode="External"/><Relationship Id="rId2" Type="http://schemas.openxmlformats.org/officeDocument/2006/relationships/image" Target="../media/image18.png"/><Relationship Id="rId1" Type="http://schemas.openxmlformats.org/officeDocument/2006/relationships/hyperlink" Target="#Instructions!A1"/></Relationships>
</file>

<file path=xl/drawings/_rels/drawing2.xml.rels><?xml version="1.0" encoding="UTF-8" standalone="yes"?>
<Relationships xmlns="http://schemas.openxmlformats.org/package/2006/relationships"><Relationship Id="rId8" Type="http://schemas.openxmlformats.org/officeDocument/2006/relationships/hyperlink" Target="#Definitions!C38:J38"/><Relationship Id="rId13" Type="http://schemas.openxmlformats.org/officeDocument/2006/relationships/hyperlink" Target="#Definitions!C71:J71"/><Relationship Id="rId18" Type="http://schemas.openxmlformats.org/officeDocument/2006/relationships/hyperlink" Target="#Definitions!C59:J59"/><Relationship Id="rId26" Type="http://schemas.openxmlformats.org/officeDocument/2006/relationships/hyperlink" Target="#Comments!C12"/><Relationship Id="rId39" Type="http://schemas.openxmlformats.org/officeDocument/2006/relationships/hyperlink" Target="#Comments!C19"/><Relationship Id="rId3" Type="http://schemas.openxmlformats.org/officeDocument/2006/relationships/hyperlink" Target="#Definitions!C51:J51"/><Relationship Id="rId21" Type="http://schemas.openxmlformats.org/officeDocument/2006/relationships/hyperlink" Target="#Definitions!C28:J28"/><Relationship Id="rId34" Type="http://schemas.openxmlformats.org/officeDocument/2006/relationships/hyperlink" Target="#Definitions!C69:J69"/><Relationship Id="rId42" Type="http://schemas.openxmlformats.org/officeDocument/2006/relationships/hyperlink" Target="#Comments!C22"/><Relationship Id="rId47" Type="http://schemas.openxmlformats.org/officeDocument/2006/relationships/hyperlink" Target="#Comments!C27"/><Relationship Id="rId7" Type="http://schemas.openxmlformats.org/officeDocument/2006/relationships/hyperlink" Target="#Definitions!C26:J26"/><Relationship Id="rId12" Type="http://schemas.openxmlformats.org/officeDocument/2006/relationships/hyperlink" Target="#Definitions!C61:J61"/><Relationship Id="rId17" Type="http://schemas.openxmlformats.org/officeDocument/2006/relationships/hyperlink" Target="#Definitions!C40:J40"/><Relationship Id="rId25" Type="http://schemas.openxmlformats.org/officeDocument/2006/relationships/image" Target="../media/image1.png"/><Relationship Id="rId33" Type="http://schemas.openxmlformats.org/officeDocument/2006/relationships/hyperlink" Target="#Definitions!C73:J73"/><Relationship Id="rId38" Type="http://schemas.openxmlformats.org/officeDocument/2006/relationships/hyperlink" Target="#Comments!C18"/><Relationship Id="rId46" Type="http://schemas.openxmlformats.org/officeDocument/2006/relationships/hyperlink" Target="#Comments!C26"/><Relationship Id="rId2" Type="http://schemas.openxmlformats.org/officeDocument/2006/relationships/hyperlink" Target="#Definitions!C18:J18"/><Relationship Id="rId16" Type="http://schemas.openxmlformats.org/officeDocument/2006/relationships/hyperlink" Target="#Definitions!C22:J22"/><Relationship Id="rId20" Type="http://schemas.openxmlformats.org/officeDocument/2006/relationships/hyperlink" Target="#Definitions!C8:J8"/><Relationship Id="rId29" Type="http://schemas.openxmlformats.org/officeDocument/2006/relationships/hyperlink" Target="#Comments!C15"/><Relationship Id="rId41" Type="http://schemas.openxmlformats.org/officeDocument/2006/relationships/hyperlink" Target="#Comments!C21"/><Relationship Id="rId1" Type="http://schemas.openxmlformats.org/officeDocument/2006/relationships/hyperlink" Target="#Definitions!C16:J16"/><Relationship Id="rId6" Type="http://schemas.openxmlformats.org/officeDocument/2006/relationships/hyperlink" Target="#Definitions!C30:J30"/><Relationship Id="rId11" Type="http://schemas.openxmlformats.org/officeDocument/2006/relationships/hyperlink" Target="#Definitions!C12:J12"/><Relationship Id="rId24" Type="http://schemas.openxmlformats.org/officeDocument/2006/relationships/hyperlink" Target="#Instructions!A1"/><Relationship Id="rId32" Type="http://schemas.openxmlformats.org/officeDocument/2006/relationships/hyperlink" Target="#Definitions!C65:J65"/><Relationship Id="rId37" Type="http://schemas.openxmlformats.org/officeDocument/2006/relationships/hyperlink" Target="#Comments!C11"/><Relationship Id="rId40" Type="http://schemas.openxmlformats.org/officeDocument/2006/relationships/hyperlink" Target="#Comments!C20"/><Relationship Id="rId45" Type="http://schemas.openxmlformats.org/officeDocument/2006/relationships/hyperlink" Target="#Comments!C25"/><Relationship Id="rId5" Type="http://schemas.openxmlformats.org/officeDocument/2006/relationships/hyperlink" Target="#Definitions!C49:J49"/><Relationship Id="rId15" Type="http://schemas.openxmlformats.org/officeDocument/2006/relationships/hyperlink" Target="#Definitions!C42:J42"/><Relationship Id="rId23" Type="http://schemas.openxmlformats.org/officeDocument/2006/relationships/hyperlink" Target="#Comments!C8"/><Relationship Id="rId28" Type="http://schemas.openxmlformats.org/officeDocument/2006/relationships/hyperlink" Target="#Comments!C14"/><Relationship Id="rId36" Type="http://schemas.openxmlformats.org/officeDocument/2006/relationships/hyperlink" Target="#Comments!C13"/><Relationship Id="rId10" Type="http://schemas.openxmlformats.org/officeDocument/2006/relationships/hyperlink" Target="#'Service Connection Diagram'!B2"/><Relationship Id="rId19" Type="http://schemas.openxmlformats.org/officeDocument/2006/relationships/hyperlink" Target="#Definitions!C32:J32"/><Relationship Id="rId31" Type="http://schemas.openxmlformats.org/officeDocument/2006/relationships/hyperlink" Target="#Comments!C16"/><Relationship Id="rId44" Type="http://schemas.openxmlformats.org/officeDocument/2006/relationships/hyperlink" Target="#Comments!C24"/><Relationship Id="rId4" Type="http://schemas.openxmlformats.org/officeDocument/2006/relationships/hyperlink" Target="#Definitions!C63:J63"/><Relationship Id="rId9" Type="http://schemas.openxmlformats.org/officeDocument/2006/relationships/hyperlink" Target="#Definitions!C20:J20"/><Relationship Id="rId14" Type="http://schemas.openxmlformats.org/officeDocument/2006/relationships/hyperlink" Target="#Definitions!C67:J67"/><Relationship Id="rId22" Type="http://schemas.openxmlformats.org/officeDocument/2006/relationships/hyperlink" Target="#Definitions!C6:J6"/><Relationship Id="rId27" Type="http://schemas.openxmlformats.org/officeDocument/2006/relationships/hyperlink" Target="#Comments!C10"/><Relationship Id="rId30" Type="http://schemas.openxmlformats.org/officeDocument/2006/relationships/hyperlink" Target="#Comments!C17"/><Relationship Id="rId35" Type="http://schemas.openxmlformats.org/officeDocument/2006/relationships/hyperlink" Target="#Comments!C9"/><Relationship Id="rId43" Type="http://schemas.openxmlformats.org/officeDocument/2006/relationships/hyperlink" Target="#Comments!C23"/><Relationship Id="rId48" Type="http://schemas.openxmlformats.org/officeDocument/2006/relationships/hyperlink" Target="#Definitions!C36:J36"/></Relationships>
</file>

<file path=xl/drawings/_rels/drawing3.xml.rels><?xml version="1.0" encoding="UTF-8" standalone="yes"?>
<Relationships xmlns="http://schemas.openxmlformats.org/package/2006/relationships"><Relationship Id="rId3" Type="http://schemas.openxmlformats.org/officeDocument/2006/relationships/hyperlink" Target="#'Grading Matrix'!A1"/><Relationship Id="rId2" Type="http://schemas.openxmlformats.org/officeDocument/2006/relationships/hyperlink" Target="#Definitions!C24:J24"/><Relationship Id="rId1" Type="http://schemas.openxmlformats.org/officeDocument/2006/relationships/hyperlink" Target="#Definitions!C45:E45"/><Relationship Id="rId5" Type="http://schemas.openxmlformats.org/officeDocument/2006/relationships/image" Target="../media/image2.png"/><Relationship Id="rId4" Type="http://schemas.openxmlformats.org/officeDocument/2006/relationships/hyperlink" Target="#Instructions!A1"/></Relationships>
</file>

<file path=xl/drawings/_rels/drawing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hyperlink" Target="#Instructions!A1"/></Relationships>
</file>

<file path=xl/drawings/_rels/drawing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hyperlink" Target="#Instructions!A1"/></Relationships>
</file>

<file path=xl/drawings/_rels/drawing7.xml.rels><?xml version="1.0" encoding="UTF-8" standalone="yes"?>
<Relationships xmlns="http://schemas.openxmlformats.org/package/2006/relationships"><Relationship Id="rId8" Type="http://schemas.openxmlformats.org/officeDocument/2006/relationships/chart" Target="../charts/chart6.xml"/><Relationship Id="rId3" Type="http://schemas.openxmlformats.org/officeDocument/2006/relationships/image" Target="../media/image5.png"/><Relationship Id="rId7" Type="http://schemas.openxmlformats.org/officeDocument/2006/relationships/chart" Target="../charts/chart5.xml"/><Relationship Id="rId2" Type="http://schemas.openxmlformats.org/officeDocument/2006/relationships/hyperlink" Target="#Instructions!A1"/><Relationship Id="rId1" Type="http://schemas.openxmlformats.org/officeDocument/2006/relationships/chart" Target="../charts/chart1.xml"/><Relationship Id="rId6" Type="http://schemas.openxmlformats.org/officeDocument/2006/relationships/chart" Target="../charts/chart4.xml"/><Relationship Id="rId5" Type="http://schemas.openxmlformats.org/officeDocument/2006/relationships/chart" Target="../charts/chart3.xml"/><Relationship Id="rId4" Type="http://schemas.openxmlformats.org/officeDocument/2006/relationships/chart" Target="../charts/chart2.xml"/></Relationships>
</file>

<file path=xl/drawings/_rels/drawing8.xml.rels><?xml version="1.0" encoding="UTF-8" standalone="yes"?>
<Relationships xmlns="http://schemas.openxmlformats.org/package/2006/relationships"><Relationship Id="rId2" Type="http://schemas.openxmlformats.org/officeDocument/2006/relationships/image" Target="../media/image6.png"/><Relationship Id="rId1" Type="http://schemas.openxmlformats.org/officeDocument/2006/relationships/hyperlink" Target="#Instructions!A1"/></Relationships>
</file>

<file path=xl/drawings/_rels/drawing9.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 Id="rId6" Type="http://schemas.openxmlformats.org/officeDocument/2006/relationships/hyperlink" Target="#Definitions!C10:L10"/><Relationship Id="rId5" Type="http://schemas.openxmlformats.org/officeDocument/2006/relationships/image" Target="../media/image5.png"/><Relationship Id="rId4" Type="http://schemas.openxmlformats.org/officeDocument/2006/relationships/hyperlink" Target="#Instructions!A1"/></Relationships>
</file>

<file path=xl/drawings/drawing1.xml><?xml version="1.0" encoding="utf-8"?>
<xdr:wsDr xmlns:xdr="http://schemas.openxmlformats.org/drawingml/2006/spreadsheetDrawing" xmlns:a="http://schemas.openxmlformats.org/drawingml/2006/main">
  <xdr:twoCellAnchor>
    <xdr:from>
      <xdr:col>11</xdr:col>
      <xdr:colOff>670560</xdr:colOff>
      <xdr:row>24</xdr:row>
      <xdr:rowOff>7620</xdr:rowOff>
    </xdr:from>
    <xdr:to>
      <xdr:col>12</xdr:col>
      <xdr:colOff>152400</xdr:colOff>
      <xdr:row>27</xdr:row>
      <xdr:rowOff>60960</xdr:rowOff>
    </xdr:to>
    <xdr:cxnSp macro="">
      <xdr:nvCxnSpPr>
        <xdr:cNvPr id="5971222" name="Straight Arrow Connector 6">
          <a:extLst>
            <a:ext uri="{FF2B5EF4-FFF2-40B4-BE49-F238E27FC236}">
              <a16:creationId xmlns:a16="http://schemas.microsoft.com/office/drawing/2014/main" id="{00000000-0008-0000-0000-0000161D5B00}"/>
            </a:ext>
          </a:extLst>
        </xdr:cNvPr>
        <xdr:cNvCxnSpPr>
          <a:cxnSpLocks noChangeShapeType="1"/>
        </xdr:cNvCxnSpPr>
      </xdr:nvCxnSpPr>
      <xdr:spPr bwMode="auto">
        <a:xfrm flipV="1">
          <a:off x="7703820" y="3848100"/>
          <a:ext cx="228600" cy="320040"/>
        </a:xfrm>
        <a:prstGeom prst="straightConnector1">
          <a:avLst/>
        </a:prstGeom>
        <a:noFill/>
        <a:ln w="12700"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xdr:from>
      <xdr:col>12</xdr:col>
      <xdr:colOff>449580</xdr:colOff>
      <xdr:row>24</xdr:row>
      <xdr:rowOff>15240</xdr:rowOff>
    </xdr:from>
    <xdr:to>
      <xdr:col>12</xdr:col>
      <xdr:colOff>571500</xdr:colOff>
      <xdr:row>27</xdr:row>
      <xdr:rowOff>68580</xdr:rowOff>
    </xdr:to>
    <xdr:cxnSp macro="">
      <xdr:nvCxnSpPr>
        <xdr:cNvPr id="5971223" name="Straight Arrow Connector 33">
          <a:extLst>
            <a:ext uri="{FF2B5EF4-FFF2-40B4-BE49-F238E27FC236}">
              <a16:creationId xmlns:a16="http://schemas.microsoft.com/office/drawing/2014/main" id="{00000000-0008-0000-0000-0000171D5B00}"/>
            </a:ext>
          </a:extLst>
        </xdr:cNvPr>
        <xdr:cNvCxnSpPr>
          <a:cxnSpLocks noChangeShapeType="1"/>
        </xdr:cNvCxnSpPr>
      </xdr:nvCxnSpPr>
      <xdr:spPr bwMode="auto">
        <a:xfrm flipH="1" flipV="1">
          <a:off x="8229600" y="3855720"/>
          <a:ext cx="121920" cy="320040"/>
        </a:xfrm>
        <a:prstGeom prst="straightConnector1">
          <a:avLst/>
        </a:prstGeom>
        <a:noFill/>
        <a:ln w="12700" algn="ctr">
          <a:solidFill>
            <a:srgbClr val="000000"/>
          </a:solidFill>
          <a:round/>
          <a:headEnd/>
          <a:tailEnd type="arrow" w="med" len="med"/>
        </a:ln>
        <a:extLst>
          <a:ext uri="{909E8E84-426E-40DD-AFC4-6F175D3DCCD1}">
            <a14:hiddenFill xmlns:a14="http://schemas.microsoft.com/office/drawing/2010/main">
              <a:noFill/>
            </a14:hiddenFill>
          </a:ext>
        </a:extLst>
      </xdr:spPr>
    </xdr:cxnSp>
    <xdr:clientData/>
  </xdr:twoCellAnchor>
  <xdr:twoCellAnchor editAs="oneCell">
    <xdr:from>
      <xdr:col>16</xdr:col>
      <xdr:colOff>0</xdr:colOff>
      <xdr:row>1</xdr:row>
      <xdr:rowOff>45720</xdr:rowOff>
    </xdr:from>
    <xdr:to>
      <xdr:col>17</xdr:col>
      <xdr:colOff>0</xdr:colOff>
      <xdr:row>1</xdr:row>
      <xdr:rowOff>261351</xdr:rowOff>
    </xdr:to>
    <xdr:sp macro="" textlink="">
      <xdr:nvSpPr>
        <xdr:cNvPr id="13" name="Text Box 706">
          <a:extLst>
            <a:ext uri="{FF2B5EF4-FFF2-40B4-BE49-F238E27FC236}">
              <a16:creationId xmlns:a16="http://schemas.microsoft.com/office/drawing/2014/main" id="{00000000-0008-0000-0000-00000D000000}"/>
            </a:ext>
          </a:extLst>
        </xdr:cNvPr>
        <xdr:cNvSpPr txBox="1">
          <a:spLocks noChangeArrowheads="1"/>
        </xdr:cNvSpPr>
      </xdr:nvSpPr>
      <xdr:spPr bwMode="auto">
        <a:xfrm>
          <a:off x="9852660" y="137160"/>
          <a:ext cx="617220" cy="207645"/>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US" sz="900" b="0" i="0" u="none" strike="noStrike" baseline="0">
              <a:solidFill>
                <a:srgbClr val="FFFFFF"/>
              </a:solidFill>
              <a:latin typeface="Arial"/>
              <a:cs typeface="Arial"/>
            </a:rPr>
            <a:t> WAS v5.0</a:t>
          </a:r>
          <a:endParaRPr lang="en-US" sz="1050"/>
        </a:p>
      </xdr:txBody>
    </xdr:sp>
    <xdr:clientData/>
  </xdr:twoCellAnchor>
  <xdr:twoCellAnchor>
    <xdr:from>
      <xdr:col>4</xdr:col>
      <xdr:colOff>720090</xdr:colOff>
      <xdr:row>1</xdr:row>
      <xdr:rowOff>320040</xdr:rowOff>
    </xdr:from>
    <xdr:to>
      <xdr:col>11</xdr:col>
      <xdr:colOff>333376</xdr:colOff>
      <xdr:row>1</xdr:row>
      <xdr:rowOff>525780</xdr:rowOff>
    </xdr:to>
    <xdr:sp macro="" textlink="">
      <xdr:nvSpPr>
        <xdr:cNvPr id="16" name="Text Box 474">
          <a:extLst>
            <a:ext uri="{FF2B5EF4-FFF2-40B4-BE49-F238E27FC236}">
              <a16:creationId xmlns:a16="http://schemas.microsoft.com/office/drawing/2014/main" id="{00000000-0008-0000-0000-000010000000}"/>
            </a:ext>
          </a:extLst>
        </xdr:cNvPr>
        <xdr:cNvSpPr txBox="1">
          <a:spLocks noChangeArrowheads="1"/>
        </xdr:cNvSpPr>
      </xdr:nvSpPr>
      <xdr:spPr bwMode="auto">
        <a:xfrm>
          <a:off x="3093720" y="426720"/>
          <a:ext cx="3825240" cy="198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ctr" rtl="0">
            <a:defRPr sz="1000"/>
          </a:pPr>
          <a:r>
            <a:rPr lang="en-US" sz="800" b="0" i="0" u="none" strike="noStrike" baseline="0">
              <a:solidFill>
                <a:srgbClr val="FFFFFF"/>
              </a:solidFill>
              <a:latin typeface="Arial"/>
              <a:cs typeface="Arial"/>
            </a:rPr>
            <a:t>American Water Works Association </a:t>
          </a:r>
          <a:r>
            <a:rPr kumimoji="0" lang="en-US" sz="800" b="0" i="0" u="none" strike="noStrike" kern="0" cap="none" spc="0" normalizeH="0" baseline="0" noProof="0">
              <a:ln>
                <a:noFill/>
              </a:ln>
              <a:solidFill>
                <a:srgbClr val="FFFFFF"/>
              </a:solidFill>
              <a:effectLst/>
              <a:uLnTx/>
              <a:uFillTx/>
              <a:latin typeface="Arial"/>
              <a:ea typeface="+mn-ea"/>
              <a:cs typeface="Arial"/>
            </a:rPr>
            <a:t>Copyright © 2014, </a:t>
          </a:r>
          <a:r>
            <a:rPr lang="en-US" sz="800" b="0" i="0" u="none" strike="noStrike" baseline="0">
              <a:solidFill>
                <a:srgbClr val="FFFFFF"/>
              </a:solidFill>
              <a:latin typeface="Arial"/>
              <a:cs typeface="Arial"/>
            </a:rPr>
            <a:t>All Rights Reserved.</a:t>
          </a:r>
          <a:endParaRPr lang="en-US"/>
        </a:p>
      </xdr:txBody>
    </xdr:sp>
    <xdr:clientData/>
  </xdr:twoCellAnchor>
  <xdr:twoCellAnchor>
    <xdr:from>
      <xdr:col>8</xdr:col>
      <xdr:colOff>106680</xdr:colOff>
      <xdr:row>7</xdr:row>
      <xdr:rowOff>121920</xdr:rowOff>
    </xdr:from>
    <xdr:to>
      <xdr:col>8</xdr:col>
      <xdr:colOff>106680</xdr:colOff>
      <xdr:row>35</xdr:row>
      <xdr:rowOff>175260</xdr:rowOff>
    </xdr:to>
    <xdr:cxnSp macro="">
      <xdr:nvCxnSpPr>
        <xdr:cNvPr id="5971226" name="Straight Connector 2">
          <a:extLst>
            <a:ext uri="{FF2B5EF4-FFF2-40B4-BE49-F238E27FC236}">
              <a16:creationId xmlns:a16="http://schemas.microsoft.com/office/drawing/2014/main" id="{00000000-0008-0000-0000-00001A1D5B00}"/>
            </a:ext>
          </a:extLst>
        </xdr:cNvPr>
        <xdr:cNvCxnSpPr>
          <a:cxnSpLocks noChangeShapeType="1"/>
        </xdr:cNvCxnSpPr>
      </xdr:nvCxnSpPr>
      <xdr:spPr bwMode="auto">
        <a:xfrm>
          <a:off x="5768340" y="1828800"/>
          <a:ext cx="0" cy="3398520"/>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mc:AlternateContent xmlns:mc="http://schemas.openxmlformats.org/markup-compatibility/2006">
    <mc:Choice xmlns:a14="http://schemas.microsoft.com/office/drawing/2010/main" Requires="a14">
      <xdr:twoCellAnchor editAs="oneCell">
        <xdr:from>
          <xdr:col>12</xdr:col>
          <xdr:colOff>365760</xdr:colOff>
          <xdr:row>22</xdr:row>
          <xdr:rowOff>30480</xdr:rowOff>
        </xdr:from>
        <xdr:to>
          <xdr:col>13</xdr:col>
          <xdr:colOff>7620</xdr:colOff>
          <xdr:row>24</xdr:row>
          <xdr:rowOff>7620</xdr:rowOff>
        </xdr:to>
        <xdr:sp macro="" textlink="">
          <xdr:nvSpPr>
            <xdr:cNvPr id="806510" name="Option Button 4718" hidden="1">
              <a:extLst>
                <a:ext uri="{63B3BB69-23CF-44E3-9099-C40C66FF867C}">
                  <a14:compatExt spid="_x0000_s806510"/>
                </a:ext>
                <a:ext uri="{FF2B5EF4-FFF2-40B4-BE49-F238E27FC236}">
                  <a16:creationId xmlns:a16="http://schemas.microsoft.com/office/drawing/2014/main" id="{00000000-0008-0000-0000-00006E4E0C00}"/>
                </a:ext>
              </a:extLst>
            </xdr:cNvPr>
            <xdr:cNvSpPr/>
          </xdr:nvSpPr>
          <xdr:spPr bwMode="auto">
            <a:xfrm>
              <a:off x="0" y="0"/>
              <a:ext cx="0" cy="0"/>
            </a:xfrm>
            <a:prstGeom prst="rect">
              <a:avLst/>
            </a:prstGeom>
            <a:noFill/>
            <a:ln>
              <a:noFill/>
            </a:ln>
            <a:extLst>
              <a:ext uri="{909E8E84-426E-40DD-AFC4-6F175D3DCCD1}">
                <a14:hiddenFill>
                  <a:solidFill>
                    <a:srgbClr val="3366FF" mc:Ignorable="a14" a14:legacySpreadsheetColorIndex="48"/>
                  </a:solidFill>
                </a14:hiddenFill>
              </a:ext>
              <a:ext uri="{91240B29-F687-4F45-9708-019B960494DF}">
                <a14:hiddenLine w="12700">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99060</xdr:colOff>
          <xdr:row>23</xdr:row>
          <xdr:rowOff>0</xdr:rowOff>
        </xdr:from>
        <xdr:to>
          <xdr:col>12</xdr:col>
          <xdr:colOff>289560</xdr:colOff>
          <xdr:row>23</xdr:row>
          <xdr:rowOff>190500</xdr:rowOff>
        </xdr:to>
        <xdr:sp macro="" textlink="">
          <xdr:nvSpPr>
            <xdr:cNvPr id="806511" name="Option Button 4719" hidden="1">
              <a:extLst>
                <a:ext uri="{63B3BB69-23CF-44E3-9099-C40C66FF867C}">
                  <a14:compatExt spid="_x0000_s806511"/>
                </a:ext>
                <a:ext uri="{FF2B5EF4-FFF2-40B4-BE49-F238E27FC236}">
                  <a16:creationId xmlns:a16="http://schemas.microsoft.com/office/drawing/2014/main" id="{00000000-0008-0000-0000-00006F4E0C00}"/>
                </a:ext>
              </a:extLst>
            </xdr:cNvPr>
            <xdr:cNvSpPr/>
          </xdr:nvSpPr>
          <xdr:spPr bwMode="auto">
            <a:xfrm>
              <a:off x="0" y="0"/>
              <a:ext cx="0" cy="0"/>
            </a:xfrm>
            <a:prstGeom prst="rect">
              <a:avLst/>
            </a:prstGeom>
            <a:noFill/>
            <a:ln>
              <a:noFill/>
            </a:ln>
            <a:extLst>
              <a:ext uri="{909E8E84-426E-40DD-AFC4-6F175D3DCCD1}">
                <a14:hiddenFill>
                  <a:solidFill>
                    <a:srgbClr val="3366FF" mc:Ignorable="a14" a14:legacySpreadsheetColorIndex="48"/>
                  </a:solidFill>
                </a14:hiddenFill>
              </a:ext>
              <a:ext uri="{91240B29-F687-4F45-9708-019B960494DF}">
                <a14:hiddenLine w="12700">
                  <a:solidFill>
                    <a:srgbClr val="000000" mc:Ignorable="a14" a14:legacySpreadsheetColorIndex="64"/>
                  </a:solidFill>
                  <a:miter lim="800000"/>
                  <a:headEnd/>
                  <a:tailEnd/>
                </a14:hiddenLine>
              </a:ext>
            </a:extLst>
          </xdr:spPr>
        </xdr:sp>
        <xdr:clientData/>
      </xdr:twoCellAnchor>
    </mc:Choice>
    <mc:Fallback/>
  </mc:AlternateContent>
  <xdr:twoCellAnchor>
    <xdr:from>
      <xdr:col>9</xdr:col>
      <xdr:colOff>114300</xdr:colOff>
      <xdr:row>27</xdr:row>
      <xdr:rowOff>53340</xdr:rowOff>
    </xdr:from>
    <xdr:to>
      <xdr:col>12</xdr:col>
      <xdr:colOff>99060</xdr:colOff>
      <xdr:row>31</xdr:row>
      <xdr:rowOff>152400</xdr:rowOff>
    </xdr:to>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5600700" y="3764280"/>
          <a:ext cx="1813560" cy="571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a:latin typeface="Arial" panose="020B0604020202020204" pitchFamily="34" charset="0"/>
              <a:cs typeface="Arial" panose="020B0604020202020204" pitchFamily="34" charset="0"/>
            </a:rPr>
            <a:t>Select</a:t>
          </a:r>
          <a:r>
            <a:rPr lang="en-US" sz="1000" baseline="0">
              <a:latin typeface="Arial" panose="020B0604020202020204" pitchFamily="34" charset="0"/>
              <a:cs typeface="Arial" panose="020B0604020202020204" pitchFamily="34" charset="0"/>
            </a:rPr>
            <a:t> the default percentage by choosing the option button on the left</a:t>
          </a:r>
          <a:endParaRPr lang="en-US" sz="1000">
            <a:latin typeface="Arial" panose="020B0604020202020204" pitchFamily="34" charset="0"/>
            <a:cs typeface="Arial" panose="020B0604020202020204" pitchFamily="34" charset="0"/>
          </a:endParaRPr>
        </a:p>
      </xdr:txBody>
    </xdr:sp>
    <xdr:clientData/>
  </xdr:twoCellAnchor>
  <xdr:twoCellAnchor>
    <xdr:from>
      <xdr:col>12</xdr:col>
      <xdr:colOff>394335</xdr:colOff>
      <xdr:row>27</xdr:row>
      <xdr:rowOff>60960</xdr:rowOff>
    </xdr:from>
    <xdr:to>
      <xdr:col>15</xdr:col>
      <xdr:colOff>1922</xdr:colOff>
      <xdr:row>31</xdr:row>
      <xdr:rowOff>152400</xdr:rowOff>
    </xdr:to>
    <xdr:sp macro="" textlink="">
      <xdr:nvSpPr>
        <xdr:cNvPr id="15" name="TextBox 14">
          <a:extLst>
            <a:ext uri="{FF2B5EF4-FFF2-40B4-BE49-F238E27FC236}">
              <a16:creationId xmlns:a16="http://schemas.microsoft.com/office/drawing/2014/main" id="{00000000-0008-0000-0000-00000F000000}"/>
            </a:ext>
          </a:extLst>
        </xdr:cNvPr>
        <xdr:cNvSpPr txBox="1"/>
      </xdr:nvSpPr>
      <xdr:spPr>
        <a:xfrm>
          <a:off x="7711440" y="3771900"/>
          <a:ext cx="1897380" cy="56388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nSpc>
              <a:spcPts val="1000"/>
            </a:lnSpc>
          </a:pPr>
          <a:r>
            <a:rPr lang="en-US" sz="1000">
              <a:latin typeface="Arial" panose="020B0604020202020204" pitchFamily="34" charset="0"/>
              <a:cs typeface="Arial" panose="020B0604020202020204" pitchFamily="34" charset="0"/>
            </a:rPr>
            <a:t>To enter a value,</a:t>
          </a:r>
          <a:r>
            <a:rPr lang="en-US" sz="1000" baseline="0">
              <a:latin typeface="Arial" panose="020B0604020202020204" pitchFamily="34" charset="0"/>
              <a:cs typeface="Arial" panose="020B0604020202020204" pitchFamily="34" charset="0"/>
            </a:rPr>
            <a:t> choose this button and enter a value in the cell to the right</a:t>
          </a:r>
          <a:endParaRPr lang="en-US" sz="1000">
            <a:latin typeface="Arial" panose="020B0604020202020204" pitchFamily="34" charset="0"/>
            <a:cs typeface="Arial" panose="020B0604020202020204" pitchFamily="34" charset="0"/>
          </a:endParaRPr>
        </a:p>
      </xdr:txBody>
    </xdr:sp>
    <xdr:clientData/>
  </xdr:twoCellAnchor>
  <xdr:twoCellAnchor>
    <xdr:from>
      <xdr:col>2</xdr:col>
      <xdr:colOff>15240</xdr:colOff>
      <xdr:row>38</xdr:row>
      <xdr:rowOff>100150</xdr:rowOff>
    </xdr:from>
    <xdr:to>
      <xdr:col>3</xdr:col>
      <xdr:colOff>80772</xdr:colOff>
      <xdr:row>45</xdr:row>
      <xdr:rowOff>49858</xdr:rowOff>
    </xdr:to>
    <xdr:sp macro="" textlink="">
      <xdr:nvSpPr>
        <xdr:cNvPr id="22" name="Rounded Rectangle 21">
          <a:hlinkClick xmlns:r="http://schemas.openxmlformats.org/officeDocument/2006/relationships" r:id="rId1"/>
          <a:extLst>
            <a:ext uri="{FF2B5EF4-FFF2-40B4-BE49-F238E27FC236}">
              <a16:creationId xmlns:a16="http://schemas.microsoft.com/office/drawing/2014/main" id="{00000000-0008-0000-0000-000016000000}"/>
            </a:ext>
          </a:extLst>
        </xdr:cNvPr>
        <xdr:cNvSpPr/>
      </xdr:nvSpPr>
      <xdr:spPr>
        <a:xfrm>
          <a:off x="236220" y="5716090"/>
          <a:ext cx="1490472" cy="1435608"/>
        </a:xfrm>
        <a:prstGeom prst="roundRect">
          <a:avLst/>
        </a:prstGeom>
        <a:ln w="12700"/>
        <a:effectLst>
          <a:outerShdw blurRad="63500" dist="101600" dir="13740000" rotWithShape="0">
            <a:prstClr val="black">
              <a:alpha val="40000"/>
            </a:prstClr>
          </a:outerShdw>
        </a:effectLst>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ctr"/>
          <a:r>
            <a:rPr lang="en-US" sz="1100" b="1" i="1" u="sng">
              <a:solidFill>
                <a:schemeClr val="dk1"/>
              </a:solidFill>
              <a:effectLst/>
              <a:latin typeface="+mn-lt"/>
              <a:ea typeface="+mn-ea"/>
              <a:cs typeface="+mn-cs"/>
            </a:rPr>
            <a:t>Instructions</a:t>
          </a:r>
        </a:p>
        <a:p>
          <a:pPr algn="ctr"/>
          <a:endParaRPr lang="en-US" sz="500">
            <a:effectLst/>
          </a:endParaRPr>
        </a:p>
        <a:p>
          <a:pPr algn="ctr">
            <a:lnSpc>
              <a:spcPts val="1100"/>
            </a:lnSpc>
          </a:pPr>
          <a:r>
            <a:rPr lang="en-US" sz="1000" b="0" i="0">
              <a:solidFill>
                <a:schemeClr val="dk1"/>
              </a:solidFill>
              <a:effectLst/>
              <a:latin typeface="+mn-lt"/>
              <a:ea typeface="+mn-ea"/>
              <a:cs typeface="+mn-cs"/>
            </a:rPr>
            <a:t>The current sheet.</a:t>
          </a:r>
          <a:r>
            <a:rPr lang="en-US" sz="1000" b="0" i="0" baseline="0">
              <a:solidFill>
                <a:schemeClr val="dk1"/>
              </a:solidFill>
              <a:effectLst/>
              <a:latin typeface="+mn-lt"/>
              <a:ea typeface="+mn-ea"/>
              <a:cs typeface="+mn-cs"/>
            </a:rPr>
            <a:t> Enter contact information and basic audit details (year,  units etc)</a:t>
          </a:r>
          <a:endParaRPr lang="en-US" sz="1000"/>
        </a:p>
      </xdr:txBody>
    </xdr:sp>
    <xdr:clientData/>
  </xdr:twoCellAnchor>
  <xdr:twoCellAnchor>
    <xdr:from>
      <xdr:col>6</xdr:col>
      <xdr:colOff>1022985</xdr:colOff>
      <xdr:row>38</xdr:row>
      <xdr:rowOff>91439</xdr:rowOff>
    </xdr:from>
    <xdr:to>
      <xdr:col>9</xdr:col>
      <xdr:colOff>823720</xdr:colOff>
      <xdr:row>45</xdr:row>
      <xdr:rowOff>49003</xdr:rowOff>
    </xdr:to>
    <xdr:sp macro="" textlink="">
      <xdr:nvSpPr>
        <xdr:cNvPr id="24" name="Rounded Rectangle 23">
          <a:hlinkClick xmlns:r="http://schemas.openxmlformats.org/officeDocument/2006/relationships" r:id="rId2"/>
          <a:extLst>
            <a:ext uri="{FF2B5EF4-FFF2-40B4-BE49-F238E27FC236}">
              <a16:creationId xmlns:a16="http://schemas.microsoft.com/office/drawing/2014/main" id="{00000000-0008-0000-0000-000018000000}"/>
            </a:ext>
          </a:extLst>
        </xdr:cNvPr>
        <xdr:cNvSpPr/>
      </xdr:nvSpPr>
      <xdr:spPr>
        <a:xfrm>
          <a:off x="5135880" y="5714999"/>
          <a:ext cx="1490472" cy="1435827"/>
        </a:xfrm>
        <a:prstGeom prst="roundRect">
          <a:avLst/>
        </a:prstGeom>
        <a:ln w="12700"/>
        <a:effectLst>
          <a:outerShdw blurRad="63500" dist="101600" dir="13740000" rotWithShape="0">
            <a:prstClr val="black">
              <a:alpha val="40000"/>
            </a:prstClr>
          </a:outerShdw>
        </a:effectLst>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ctr">
            <a:lnSpc>
              <a:spcPts val="1100"/>
            </a:lnSpc>
          </a:pPr>
          <a:r>
            <a:rPr lang="en-US" sz="1100" b="1" i="1" u="sng">
              <a:solidFill>
                <a:schemeClr val="dk1"/>
              </a:solidFill>
              <a:effectLst/>
              <a:latin typeface="+mn-lt"/>
              <a:ea typeface="+mn-ea"/>
              <a:cs typeface="+mn-cs"/>
            </a:rPr>
            <a:t>Performance Indicators</a:t>
          </a:r>
        </a:p>
        <a:p>
          <a:pPr>
            <a:lnSpc>
              <a:spcPts val="500"/>
            </a:lnSpc>
          </a:pPr>
          <a:endParaRPr lang="en-US" sz="500">
            <a:effectLst/>
          </a:endParaRPr>
        </a:p>
        <a:p>
          <a:pPr algn="ctr">
            <a:lnSpc>
              <a:spcPts val="1000"/>
            </a:lnSpc>
          </a:pPr>
          <a:r>
            <a:rPr lang="en-US" sz="1000" b="0" i="0">
              <a:solidFill>
                <a:schemeClr val="dk1"/>
              </a:solidFill>
              <a:effectLst/>
              <a:latin typeface="+mn-lt"/>
              <a:ea typeface="+mn-ea"/>
              <a:cs typeface="+mn-cs"/>
            </a:rPr>
            <a:t>Review the</a:t>
          </a:r>
          <a:r>
            <a:rPr lang="en-US" sz="1000" b="0" i="0" baseline="0">
              <a:solidFill>
                <a:schemeClr val="dk1"/>
              </a:solidFill>
              <a:effectLst/>
              <a:latin typeface="+mn-lt"/>
              <a:ea typeface="+mn-ea"/>
              <a:cs typeface="+mn-cs"/>
            </a:rPr>
            <a:t> performance indicators to evaluate the results of the audit </a:t>
          </a:r>
          <a:endParaRPr lang="en-US" sz="1000"/>
        </a:p>
      </xdr:txBody>
    </xdr:sp>
    <xdr:clientData/>
  </xdr:twoCellAnchor>
  <xdr:twoCellAnchor>
    <xdr:from>
      <xdr:col>5</xdr:col>
      <xdr:colOff>182880</xdr:colOff>
      <xdr:row>38</xdr:row>
      <xdr:rowOff>90353</xdr:rowOff>
    </xdr:from>
    <xdr:to>
      <xdr:col>6</xdr:col>
      <xdr:colOff>867617</xdr:colOff>
      <xdr:row>45</xdr:row>
      <xdr:rowOff>47697</xdr:rowOff>
    </xdr:to>
    <xdr:sp macro="" textlink="">
      <xdr:nvSpPr>
        <xdr:cNvPr id="25" name="Rounded Rectangle 24">
          <a:hlinkClick xmlns:r="http://schemas.openxmlformats.org/officeDocument/2006/relationships" r:id="rId3"/>
          <a:extLst>
            <a:ext uri="{FF2B5EF4-FFF2-40B4-BE49-F238E27FC236}">
              <a16:creationId xmlns:a16="http://schemas.microsoft.com/office/drawing/2014/main" id="{00000000-0008-0000-0000-000019000000}"/>
            </a:ext>
          </a:extLst>
        </xdr:cNvPr>
        <xdr:cNvSpPr/>
      </xdr:nvSpPr>
      <xdr:spPr>
        <a:xfrm>
          <a:off x="3497580" y="5713913"/>
          <a:ext cx="1490472" cy="1435608"/>
        </a:xfrm>
        <a:prstGeom prst="roundRect">
          <a:avLst/>
        </a:prstGeom>
        <a:ln w="12700"/>
        <a:effectLst>
          <a:outerShdw blurRad="63500" dist="101600" dir="13740000" rotWithShape="0">
            <a:prstClr val="black">
              <a:alpha val="40000"/>
            </a:prstClr>
          </a:outerShdw>
        </a:effectLst>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ctr">
            <a:lnSpc>
              <a:spcPts val="1200"/>
            </a:lnSpc>
          </a:pPr>
          <a:r>
            <a:rPr lang="en-US" sz="1100" b="1" i="1" u="sng">
              <a:solidFill>
                <a:schemeClr val="dk1"/>
              </a:solidFill>
              <a:effectLst/>
              <a:latin typeface="+mn-lt"/>
              <a:ea typeface="+mn-ea"/>
              <a:cs typeface="+mn-cs"/>
            </a:rPr>
            <a:t>Comments</a:t>
          </a:r>
        </a:p>
        <a:p>
          <a:pPr algn="ctr">
            <a:lnSpc>
              <a:spcPts val="500"/>
            </a:lnSpc>
          </a:pPr>
          <a:endParaRPr lang="en-US" sz="500">
            <a:effectLst/>
          </a:endParaRPr>
        </a:p>
        <a:p>
          <a:pPr algn="ctr">
            <a:lnSpc>
              <a:spcPts val="1200"/>
            </a:lnSpc>
          </a:pPr>
          <a:r>
            <a:rPr lang="en-US" sz="1000" b="0" i="0">
              <a:solidFill>
                <a:schemeClr val="dk1"/>
              </a:solidFill>
              <a:effectLst/>
              <a:latin typeface="+mn-lt"/>
              <a:ea typeface="+mn-ea"/>
              <a:cs typeface="+mn-cs"/>
            </a:rPr>
            <a:t>Enter comments to explain how values were calculated</a:t>
          </a:r>
          <a:r>
            <a:rPr lang="en-US" sz="1000" b="0" i="0" baseline="0">
              <a:solidFill>
                <a:schemeClr val="dk1"/>
              </a:solidFill>
              <a:effectLst/>
              <a:latin typeface="+mn-lt"/>
              <a:ea typeface="+mn-ea"/>
              <a:cs typeface="+mn-cs"/>
            </a:rPr>
            <a:t> or to </a:t>
          </a:r>
          <a:r>
            <a:rPr lang="en-US" sz="1000" b="0" i="0">
              <a:solidFill>
                <a:schemeClr val="dk1"/>
              </a:solidFill>
              <a:effectLst/>
              <a:latin typeface="+mn-lt"/>
              <a:ea typeface="+mn-ea"/>
              <a:cs typeface="+mn-cs"/>
            </a:rPr>
            <a:t>document data sources</a:t>
          </a:r>
          <a:endParaRPr lang="en-US" sz="1000">
            <a:effectLst/>
          </a:endParaRPr>
        </a:p>
      </xdr:txBody>
    </xdr:sp>
    <xdr:clientData/>
  </xdr:twoCellAnchor>
  <xdr:twoCellAnchor>
    <xdr:from>
      <xdr:col>9</xdr:col>
      <xdr:colOff>954405</xdr:colOff>
      <xdr:row>38</xdr:row>
      <xdr:rowOff>89264</xdr:rowOff>
    </xdr:from>
    <xdr:to>
      <xdr:col>12</xdr:col>
      <xdr:colOff>564627</xdr:colOff>
      <xdr:row>45</xdr:row>
      <xdr:rowOff>46608</xdr:rowOff>
    </xdr:to>
    <xdr:sp macro="" textlink="">
      <xdr:nvSpPr>
        <xdr:cNvPr id="26" name="Rounded Rectangle 25">
          <a:hlinkClick xmlns:r="http://schemas.openxmlformats.org/officeDocument/2006/relationships" r:id="rId4"/>
          <a:extLst>
            <a:ext uri="{FF2B5EF4-FFF2-40B4-BE49-F238E27FC236}">
              <a16:creationId xmlns:a16="http://schemas.microsoft.com/office/drawing/2014/main" id="{00000000-0008-0000-0000-00001A000000}"/>
            </a:ext>
          </a:extLst>
        </xdr:cNvPr>
        <xdr:cNvSpPr/>
      </xdr:nvSpPr>
      <xdr:spPr>
        <a:xfrm>
          <a:off x="6758940" y="5712824"/>
          <a:ext cx="1490472" cy="1435608"/>
        </a:xfrm>
        <a:prstGeom prst="roundRect">
          <a:avLst/>
        </a:prstGeom>
        <a:ln w="12700"/>
        <a:effectLst>
          <a:outerShdw blurRad="63500" dist="101600" dir="13740000" rotWithShape="0">
            <a:prstClr val="black">
              <a:alpha val="40000"/>
            </a:prstClr>
          </a:outerShdw>
        </a:effectLst>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ctr"/>
          <a:r>
            <a:rPr lang="en-US" sz="1100" b="1" i="1" u="sng">
              <a:solidFill>
                <a:schemeClr val="dk1"/>
              </a:solidFill>
              <a:effectLst/>
              <a:latin typeface="+mn-lt"/>
              <a:ea typeface="+mn-ea"/>
              <a:cs typeface="+mn-cs"/>
            </a:rPr>
            <a:t>Water Balance</a:t>
          </a:r>
        </a:p>
        <a:p>
          <a:pPr algn="ctr"/>
          <a:endParaRPr lang="en-US" sz="500">
            <a:effectLst/>
          </a:endParaRPr>
        </a:p>
        <a:p>
          <a:pPr algn="ctr">
            <a:lnSpc>
              <a:spcPts val="1100"/>
            </a:lnSpc>
          </a:pPr>
          <a:r>
            <a:rPr lang="en-US" sz="1000" b="0" i="0">
              <a:solidFill>
                <a:schemeClr val="dk1"/>
              </a:solidFill>
              <a:effectLst/>
              <a:latin typeface="+mn-lt"/>
              <a:ea typeface="+mn-ea"/>
              <a:cs typeface="+mn-cs"/>
            </a:rPr>
            <a:t>The values entered</a:t>
          </a:r>
          <a:r>
            <a:rPr lang="en-US" sz="1000" b="0" i="0" baseline="0">
              <a:solidFill>
                <a:schemeClr val="dk1"/>
              </a:solidFill>
              <a:effectLst/>
              <a:latin typeface="+mn-lt"/>
              <a:ea typeface="+mn-ea"/>
              <a:cs typeface="+mn-cs"/>
            </a:rPr>
            <a:t> in the Reporting Worksheet are used to populate the Water Balance</a:t>
          </a:r>
          <a:endParaRPr lang="en-US" sz="1000">
            <a:effectLst/>
          </a:endParaRPr>
        </a:p>
      </xdr:txBody>
    </xdr:sp>
    <xdr:clientData/>
  </xdr:twoCellAnchor>
  <xdr:twoCellAnchor>
    <xdr:from>
      <xdr:col>13</xdr:col>
      <xdr:colOff>140208</xdr:colOff>
      <xdr:row>38</xdr:row>
      <xdr:rowOff>101239</xdr:rowOff>
    </xdr:from>
    <xdr:to>
      <xdr:col>16</xdr:col>
      <xdr:colOff>64008</xdr:colOff>
      <xdr:row>45</xdr:row>
      <xdr:rowOff>50947</xdr:rowOff>
    </xdr:to>
    <xdr:sp macro="" textlink="">
      <xdr:nvSpPr>
        <xdr:cNvPr id="31" name="Rounded Rectangle 30">
          <a:hlinkClick xmlns:r="http://schemas.openxmlformats.org/officeDocument/2006/relationships" r:id="rId5"/>
          <a:extLst>
            <a:ext uri="{FF2B5EF4-FFF2-40B4-BE49-F238E27FC236}">
              <a16:creationId xmlns:a16="http://schemas.microsoft.com/office/drawing/2014/main" id="{00000000-0008-0000-0000-00001F000000}"/>
            </a:ext>
          </a:extLst>
        </xdr:cNvPr>
        <xdr:cNvSpPr/>
      </xdr:nvSpPr>
      <xdr:spPr>
        <a:xfrm>
          <a:off x="8407908" y="5717179"/>
          <a:ext cx="1508760" cy="1435608"/>
        </a:xfrm>
        <a:prstGeom prst="roundRect">
          <a:avLst/>
        </a:prstGeom>
        <a:ln w="12700"/>
        <a:effectLst>
          <a:outerShdw blurRad="63500" dist="101600" dir="13740000" rotWithShape="0">
            <a:prstClr val="black">
              <a:alpha val="40000"/>
            </a:prstClr>
          </a:outerShdw>
        </a:effectLst>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ctr">
            <a:lnSpc>
              <a:spcPts val="1200"/>
            </a:lnSpc>
          </a:pPr>
          <a:r>
            <a:rPr lang="en-US" sz="1100" b="1" i="1" u="sng">
              <a:solidFill>
                <a:schemeClr val="dk1"/>
              </a:solidFill>
              <a:effectLst/>
              <a:latin typeface="+mn-lt"/>
              <a:ea typeface="+mn-ea"/>
              <a:cs typeface="+mn-cs"/>
            </a:rPr>
            <a:t>Dashboard</a:t>
          </a:r>
        </a:p>
        <a:p>
          <a:pPr algn="ctr">
            <a:lnSpc>
              <a:spcPts val="500"/>
            </a:lnSpc>
          </a:pPr>
          <a:endParaRPr lang="en-US" sz="500">
            <a:effectLst/>
          </a:endParaRPr>
        </a:p>
        <a:p>
          <a:pPr algn="ctr">
            <a:lnSpc>
              <a:spcPts val="1200"/>
            </a:lnSpc>
          </a:pPr>
          <a:r>
            <a:rPr lang="en-US" sz="1000" b="0" i="0">
              <a:solidFill>
                <a:schemeClr val="dk1"/>
              </a:solidFill>
              <a:effectLst/>
              <a:latin typeface="+mn-lt"/>
              <a:ea typeface="+mn-ea"/>
              <a:cs typeface="+mn-cs"/>
            </a:rPr>
            <a:t>A graphical</a:t>
          </a:r>
          <a:r>
            <a:rPr lang="en-US" sz="1000" b="0" i="0" baseline="0">
              <a:solidFill>
                <a:schemeClr val="dk1"/>
              </a:solidFill>
              <a:effectLst/>
              <a:latin typeface="+mn-lt"/>
              <a:ea typeface="+mn-ea"/>
              <a:cs typeface="+mn-cs"/>
            </a:rPr>
            <a:t> summary of the water balance and Non-Revenue Water components</a:t>
          </a:r>
          <a:endParaRPr lang="en-US" sz="1000">
            <a:effectLst/>
          </a:endParaRPr>
        </a:p>
      </xdr:txBody>
    </xdr:sp>
    <xdr:clientData/>
  </xdr:twoCellAnchor>
  <xdr:twoCellAnchor>
    <xdr:from>
      <xdr:col>2</xdr:col>
      <xdr:colOff>15240</xdr:colOff>
      <xdr:row>45</xdr:row>
      <xdr:rowOff>235127</xdr:rowOff>
    </xdr:from>
    <xdr:to>
      <xdr:col>3</xdr:col>
      <xdr:colOff>80772</xdr:colOff>
      <xdr:row>50</xdr:row>
      <xdr:rowOff>32435</xdr:rowOff>
    </xdr:to>
    <xdr:sp macro="" textlink="">
      <xdr:nvSpPr>
        <xdr:cNvPr id="32" name="Rounded Rectangle 31">
          <a:hlinkClick xmlns:r="http://schemas.openxmlformats.org/officeDocument/2006/relationships" r:id="rId6"/>
          <a:extLst>
            <a:ext uri="{FF2B5EF4-FFF2-40B4-BE49-F238E27FC236}">
              <a16:creationId xmlns:a16="http://schemas.microsoft.com/office/drawing/2014/main" id="{00000000-0008-0000-0000-000020000000}"/>
            </a:ext>
          </a:extLst>
        </xdr:cNvPr>
        <xdr:cNvSpPr/>
      </xdr:nvSpPr>
      <xdr:spPr>
        <a:xfrm>
          <a:off x="236220" y="7336967"/>
          <a:ext cx="1490472" cy="1443228"/>
        </a:xfrm>
        <a:prstGeom prst="roundRect">
          <a:avLst/>
        </a:prstGeom>
        <a:ln w="12700"/>
        <a:effectLst>
          <a:outerShdw blurRad="63500" dist="101600" dir="13740000" rotWithShape="0">
            <a:prstClr val="black">
              <a:alpha val="40000"/>
            </a:prstClr>
          </a:outerShdw>
        </a:effectLst>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ctr">
            <a:lnSpc>
              <a:spcPts val="1200"/>
            </a:lnSpc>
          </a:pPr>
          <a:r>
            <a:rPr lang="en-US" sz="1100" b="1" i="1" u="sng">
              <a:solidFill>
                <a:schemeClr val="dk1"/>
              </a:solidFill>
              <a:effectLst/>
              <a:latin typeface="+mn-lt"/>
              <a:ea typeface="+mn-ea"/>
              <a:cs typeface="+mn-cs"/>
            </a:rPr>
            <a:t>Grading</a:t>
          </a:r>
          <a:r>
            <a:rPr lang="en-US" sz="1100" b="1" i="1" u="sng" baseline="0">
              <a:solidFill>
                <a:schemeClr val="dk1"/>
              </a:solidFill>
              <a:effectLst/>
              <a:latin typeface="+mn-lt"/>
              <a:ea typeface="+mn-ea"/>
              <a:cs typeface="+mn-cs"/>
            </a:rPr>
            <a:t> Matrix</a:t>
          </a:r>
        </a:p>
        <a:p>
          <a:pPr algn="ctr">
            <a:lnSpc>
              <a:spcPts val="500"/>
            </a:lnSpc>
          </a:pPr>
          <a:endParaRPr lang="en-US" sz="500">
            <a:effectLst/>
          </a:endParaRPr>
        </a:p>
        <a:p>
          <a:pPr algn="ctr">
            <a:lnSpc>
              <a:spcPts val="1200"/>
            </a:lnSpc>
          </a:pPr>
          <a:r>
            <a:rPr lang="en-US" sz="1000" b="0" i="0">
              <a:solidFill>
                <a:schemeClr val="dk1"/>
              </a:solidFill>
              <a:effectLst/>
              <a:latin typeface="+mn-lt"/>
              <a:ea typeface="+mn-ea"/>
              <a:cs typeface="+mn-cs"/>
            </a:rPr>
            <a:t>Presents</a:t>
          </a:r>
          <a:r>
            <a:rPr lang="en-US" sz="1000" b="0" i="0" baseline="0">
              <a:solidFill>
                <a:schemeClr val="dk1"/>
              </a:solidFill>
              <a:effectLst/>
              <a:latin typeface="+mn-lt"/>
              <a:ea typeface="+mn-ea"/>
              <a:cs typeface="+mn-cs"/>
            </a:rPr>
            <a:t> the possible grading options for each input component of the audit</a:t>
          </a:r>
          <a:endParaRPr lang="en-US" sz="1000">
            <a:effectLst/>
          </a:endParaRPr>
        </a:p>
      </xdr:txBody>
    </xdr:sp>
    <xdr:clientData/>
  </xdr:twoCellAnchor>
  <xdr:twoCellAnchor>
    <xdr:from>
      <xdr:col>3</xdr:col>
      <xdr:colOff>234315</xdr:colOff>
      <xdr:row>45</xdr:row>
      <xdr:rowOff>235128</xdr:rowOff>
    </xdr:from>
    <xdr:to>
      <xdr:col>5</xdr:col>
      <xdr:colOff>57933</xdr:colOff>
      <xdr:row>50</xdr:row>
      <xdr:rowOff>32436</xdr:rowOff>
    </xdr:to>
    <xdr:sp macro="" textlink="">
      <xdr:nvSpPr>
        <xdr:cNvPr id="33" name="Rounded Rectangle 32">
          <a:hlinkClick xmlns:r="http://schemas.openxmlformats.org/officeDocument/2006/relationships" r:id="rId7"/>
          <a:extLst>
            <a:ext uri="{FF2B5EF4-FFF2-40B4-BE49-F238E27FC236}">
              <a16:creationId xmlns:a16="http://schemas.microsoft.com/office/drawing/2014/main" id="{00000000-0008-0000-0000-000021000000}"/>
            </a:ext>
          </a:extLst>
        </xdr:cNvPr>
        <xdr:cNvSpPr/>
      </xdr:nvSpPr>
      <xdr:spPr>
        <a:xfrm>
          <a:off x="1882140" y="7336968"/>
          <a:ext cx="1490472" cy="1443228"/>
        </a:xfrm>
        <a:prstGeom prst="roundRect">
          <a:avLst/>
        </a:prstGeom>
        <a:ln w="12700"/>
        <a:effectLst>
          <a:outerShdw blurRad="63500" dist="101600" dir="13740000" rotWithShape="0">
            <a:prstClr val="black">
              <a:alpha val="40000"/>
            </a:prstClr>
          </a:outerShdw>
        </a:effectLst>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ctr"/>
          <a:r>
            <a:rPr lang="en-US" sz="1100" b="1" i="1" u="sng">
              <a:solidFill>
                <a:schemeClr val="dk1"/>
              </a:solidFill>
              <a:effectLst/>
              <a:latin typeface="+mn-lt"/>
              <a:ea typeface="+mn-ea"/>
              <a:cs typeface="+mn-cs"/>
            </a:rPr>
            <a:t>Service Connection Diagram</a:t>
          </a:r>
        </a:p>
        <a:p>
          <a:pPr algn="ctr"/>
          <a:endParaRPr lang="en-US" sz="500">
            <a:effectLst/>
          </a:endParaRPr>
        </a:p>
        <a:p>
          <a:pPr algn="ctr"/>
          <a:r>
            <a:rPr lang="en-US" sz="1000" b="0" i="0">
              <a:solidFill>
                <a:schemeClr val="dk1"/>
              </a:solidFill>
              <a:effectLst/>
              <a:latin typeface="+mn-lt"/>
              <a:ea typeface="+mn-ea"/>
              <a:cs typeface="+mn-cs"/>
            </a:rPr>
            <a:t>Diagrams depicting possible customer service</a:t>
          </a:r>
          <a:r>
            <a:rPr lang="en-US" sz="1000" b="0" i="0" baseline="0">
              <a:solidFill>
                <a:schemeClr val="dk1"/>
              </a:solidFill>
              <a:effectLst/>
              <a:latin typeface="+mn-lt"/>
              <a:ea typeface="+mn-ea"/>
              <a:cs typeface="+mn-cs"/>
            </a:rPr>
            <a:t> connection line configurations</a:t>
          </a:r>
          <a:endParaRPr lang="en-US" sz="1000">
            <a:effectLst/>
          </a:endParaRPr>
        </a:p>
      </xdr:txBody>
    </xdr:sp>
    <xdr:clientData/>
  </xdr:twoCellAnchor>
  <xdr:twoCellAnchor>
    <xdr:from>
      <xdr:col>13</xdr:col>
      <xdr:colOff>140208</xdr:colOff>
      <xdr:row>45</xdr:row>
      <xdr:rowOff>234038</xdr:rowOff>
    </xdr:from>
    <xdr:to>
      <xdr:col>16</xdr:col>
      <xdr:colOff>64008</xdr:colOff>
      <xdr:row>50</xdr:row>
      <xdr:rowOff>31346</xdr:rowOff>
    </xdr:to>
    <xdr:sp macro="" textlink="">
      <xdr:nvSpPr>
        <xdr:cNvPr id="34" name="Rounded Rectangle 33">
          <a:hlinkClick xmlns:r="http://schemas.openxmlformats.org/officeDocument/2006/relationships" r:id="rId8"/>
          <a:extLst>
            <a:ext uri="{FF2B5EF4-FFF2-40B4-BE49-F238E27FC236}">
              <a16:creationId xmlns:a16="http://schemas.microsoft.com/office/drawing/2014/main" id="{00000000-0008-0000-0000-000022000000}"/>
            </a:ext>
          </a:extLst>
        </xdr:cNvPr>
        <xdr:cNvSpPr/>
      </xdr:nvSpPr>
      <xdr:spPr>
        <a:xfrm>
          <a:off x="8407908" y="7335878"/>
          <a:ext cx="1508760" cy="1443228"/>
        </a:xfrm>
        <a:prstGeom prst="roundRect">
          <a:avLst/>
        </a:prstGeom>
        <a:ln w="12700"/>
        <a:effectLst>
          <a:outerShdw blurRad="63500" dist="101600" dir="13740000" rotWithShape="0">
            <a:prstClr val="black">
              <a:alpha val="40000"/>
            </a:prstClr>
          </a:outerShdw>
        </a:effectLst>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ctr">
            <a:lnSpc>
              <a:spcPts val="1200"/>
            </a:lnSpc>
          </a:pPr>
          <a:r>
            <a:rPr lang="en-US" sz="1100" b="1" i="1" u="sng">
              <a:solidFill>
                <a:schemeClr val="dk1"/>
              </a:solidFill>
              <a:effectLst/>
              <a:latin typeface="+mn-lt"/>
              <a:ea typeface="+mn-ea"/>
              <a:cs typeface="+mn-cs"/>
            </a:rPr>
            <a:t>Acknowledgements</a:t>
          </a:r>
        </a:p>
        <a:p>
          <a:pPr algn="ctr"/>
          <a:endParaRPr lang="en-US" sz="500">
            <a:effectLst/>
          </a:endParaRPr>
        </a:p>
        <a:p>
          <a:pPr algn="ctr">
            <a:lnSpc>
              <a:spcPts val="1100"/>
            </a:lnSpc>
          </a:pPr>
          <a:r>
            <a:rPr lang="en-US" sz="1000" b="0" i="0">
              <a:solidFill>
                <a:schemeClr val="dk1"/>
              </a:solidFill>
              <a:effectLst/>
              <a:latin typeface="+mn-lt"/>
              <a:ea typeface="+mn-ea"/>
              <a:cs typeface="+mn-cs"/>
            </a:rPr>
            <a:t>Acknowledgements</a:t>
          </a:r>
          <a:r>
            <a:rPr lang="en-US" sz="1000" b="0" i="0" baseline="0">
              <a:solidFill>
                <a:schemeClr val="dk1"/>
              </a:solidFill>
              <a:effectLst/>
              <a:latin typeface="+mn-lt"/>
              <a:ea typeface="+mn-ea"/>
              <a:cs typeface="+mn-cs"/>
            </a:rPr>
            <a:t> for the AWWA Free Water Audit Software v5.0</a:t>
          </a:r>
          <a:endParaRPr lang="en-US" sz="1000">
            <a:effectLst/>
          </a:endParaRPr>
        </a:p>
      </xdr:txBody>
    </xdr:sp>
    <xdr:clientData/>
  </xdr:twoCellAnchor>
  <xdr:twoCellAnchor>
    <xdr:from>
      <xdr:col>6</xdr:col>
      <xdr:colOff>1049112</xdr:colOff>
      <xdr:row>45</xdr:row>
      <xdr:rowOff>234040</xdr:rowOff>
    </xdr:from>
    <xdr:to>
      <xdr:col>9</xdr:col>
      <xdr:colOff>826986</xdr:colOff>
      <xdr:row>50</xdr:row>
      <xdr:rowOff>31348</xdr:rowOff>
    </xdr:to>
    <xdr:sp macro="" textlink="">
      <xdr:nvSpPr>
        <xdr:cNvPr id="35" name="Rounded Rectangle 34">
          <a:hlinkClick xmlns:r="http://schemas.openxmlformats.org/officeDocument/2006/relationships" r:id="rId9"/>
          <a:extLst>
            <a:ext uri="{FF2B5EF4-FFF2-40B4-BE49-F238E27FC236}">
              <a16:creationId xmlns:a16="http://schemas.microsoft.com/office/drawing/2014/main" id="{00000000-0008-0000-0000-000023000000}"/>
            </a:ext>
          </a:extLst>
        </xdr:cNvPr>
        <xdr:cNvSpPr/>
      </xdr:nvSpPr>
      <xdr:spPr>
        <a:xfrm>
          <a:off x="5162007" y="7335880"/>
          <a:ext cx="1467612" cy="1443228"/>
        </a:xfrm>
        <a:prstGeom prst="roundRect">
          <a:avLst/>
        </a:prstGeom>
        <a:ln w="12700"/>
        <a:effectLst>
          <a:outerShdw blurRad="63500" dist="101600" dir="13740000" rotWithShape="0">
            <a:prstClr val="black">
              <a:alpha val="40000"/>
            </a:prstClr>
          </a:outerShdw>
        </a:effectLst>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ctr">
            <a:lnSpc>
              <a:spcPts val="1100"/>
            </a:lnSpc>
          </a:pPr>
          <a:r>
            <a:rPr lang="en-US" sz="1100" b="1" i="1" u="sng">
              <a:solidFill>
                <a:schemeClr val="dk1"/>
              </a:solidFill>
              <a:effectLst/>
              <a:latin typeface="+mn-lt"/>
              <a:ea typeface="+mn-ea"/>
              <a:cs typeface="+mn-cs"/>
            </a:rPr>
            <a:t>Loss Control Planning</a:t>
          </a:r>
        </a:p>
        <a:p>
          <a:pPr algn="ctr">
            <a:lnSpc>
              <a:spcPts val="500"/>
            </a:lnSpc>
          </a:pPr>
          <a:endParaRPr lang="en-US" sz="500">
            <a:effectLst/>
          </a:endParaRPr>
        </a:p>
        <a:p>
          <a:pPr algn="ctr">
            <a:lnSpc>
              <a:spcPts val="1000"/>
            </a:lnSpc>
          </a:pPr>
          <a:r>
            <a:rPr lang="en-US" sz="1000" b="0" i="0">
              <a:solidFill>
                <a:schemeClr val="dk1"/>
              </a:solidFill>
              <a:effectLst/>
              <a:latin typeface="+mn-lt"/>
              <a:ea typeface="+mn-ea"/>
              <a:cs typeface="+mn-cs"/>
            </a:rPr>
            <a:t>Use this sheet to interpret the</a:t>
          </a:r>
          <a:r>
            <a:rPr lang="en-US" sz="1000" b="0" i="0" baseline="0">
              <a:solidFill>
                <a:schemeClr val="dk1"/>
              </a:solidFill>
              <a:effectLst/>
              <a:latin typeface="+mn-lt"/>
              <a:ea typeface="+mn-ea"/>
              <a:cs typeface="+mn-cs"/>
            </a:rPr>
            <a:t> results of the audit validity score and performance indicators</a:t>
          </a:r>
          <a:endParaRPr lang="en-US" sz="1000">
            <a:effectLst/>
          </a:endParaRPr>
        </a:p>
      </xdr:txBody>
    </xdr:sp>
    <xdr:clientData/>
  </xdr:twoCellAnchor>
  <xdr:twoCellAnchor>
    <xdr:from>
      <xdr:col>5</xdr:col>
      <xdr:colOff>203835</xdr:colOff>
      <xdr:row>46</xdr:row>
      <xdr:rowOff>3533</xdr:rowOff>
    </xdr:from>
    <xdr:to>
      <xdr:col>6</xdr:col>
      <xdr:colOff>899919</xdr:colOff>
      <xdr:row>50</xdr:row>
      <xdr:rowOff>38966</xdr:rowOff>
    </xdr:to>
    <xdr:sp macro="" textlink="">
      <xdr:nvSpPr>
        <xdr:cNvPr id="36" name="Rounded Rectangle 35">
          <a:hlinkClick xmlns:r="http://schemas.openxmlformats.org/officeDocument/2006/relationships" r:id="rId10"/>
          <a:extLst>
            <a:ext uri="{FF2B5EF4-FFF2-40B4-BE49-F238E27FC236}">
              <a16:creationId xmlns:a16="http://schemas.microsoft.com/office/drawing/2014/main" id="{00000000-0008-0000-0000-000024000000}"/>
            </a:ext>
          </a:extLst>
        </xdr:cNvPr>
        <xdr:cNvSpPr/>
      </xdr:nvSpPr>
      <xdr:spPr>
        <a:xfrm>
          <a:off x="3520440" y="7343498"/>
          <a:ext cx="1490472" cy="1443228"/>
        </a:xfrm>
        <a:prstGeom prst="roundRect">
          <a:avLst/>
        </a:prstGeom>
        <a:ln w="12700"/>
        <a:effectLst>
          <a:outerShdw blurRad="63500" dist="101600" dir="13740000" rotWithShape="0">
            <a:prstClr val="black">
              <a:alpha val="40000"/>
            </a:prstClr>
          </a:outerShdw>
        </a:effectLst>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ctr">
            <a:lnSpc>
              <a:spcPts val="1200"/>
            </a:lnSpc>
          </a:pPr>
          <a:r>
            <a:rPr lang="en-US" sz="1100" b="1" i="1" u="sng">
              <a:solidFill>
                <a:schemeClr val="dk1"/>
              </a:solidFill>
              <a:effectLst/>
              <a:latin typeface="+mn-lt"/>
              <a:ea typeface="+mn-ea"/>
              <a:cs typeface="+mn-cs"/>
            </a:rPr>
            <a:t>Definitions</a:t>
          </a:r>
        </a:p>
        <a:p>
          <a:pPr algn="ctr"/>
          <a:endParaRPr lang="en-US" sz="500">
            <a:effectLst/>
          </a:endParaRPr>
        </a:p>
        <a:p>
          <a:pPr algn="ctr">
            <a:lnSpc>
              <a:spcPts val="1100"/>
            </a:lnSpc>
          </a:pPr>
          <a:r>
            <a:rPr lang="en-US" sz="1000" b="0" i="0">
              <a:solidFill>
                <a:schemeClr val="dk1"/>
              </a:solidFill>
              <a:effectLst/>
              <a:latin typeface="+mn-lt"/>
              <a:ea typeface="+mn-ea"/>
              <a:cs typeface="+mn-cs"/>
            </a:rPr>
            <a:t>Use this</a:t>
          </a:r>
          <a:r>
            <a:rPr lang="en-US" sz="1000" b="0" i="0" baseline="0">
              <a:solidFill>
                <a:schemeClr val="dk1"/>
              </a:solidFill>
              <a:effectLst/>
              <a:latin typeface="+mn-lt"/>
              <a:ea typeface="+mn-ea"/>
              <a:cs typeface="+mn-cs"/>
            </a:rPr>
            <a:t> sheet to understand the terms used in the audit process</a:t>
          </a:r>
          <a:endParaRPr lang="en-US" sz="1000">
            <a:effectLst/>
          </a:endParaRPr>
        </a:p>
      </xdr:txBody>
    </xdr:sp>
    <xdr:clientData/>
  </xdr:twoCellAnchor>
  <xdr:twoCellAnchor>
    <xdr:from>
      <xdr:col>9</xdr:col>
      <xdr:colOff>954405</xdr:colOff>
      <xdr:row>45</xdr:row>
      <xdr:rowOff>234039</xdr:rowOff>
    </xdr:from>
    <xdr:to>
      <xdr:col>12</xdr:col>
      <xdr:colOff>564627</xdr:colOff>
      <xdr:row>50</xdr:row>
      <xdr:rowOff>31347</xdr:rowOff>
    </xdr:to>
    <xdr:sp macro="" textlink="">
      <xdr:nvSpPr>
        <xdr:cNvPr id="47" name="Rounded Rectangle 46">
          <a:hlinkClick xmlns:r="http://schemas.openxmlformats.org/officeDocument/2006/relationships" r:id="rId11"/>
          <a:extLst>
            <a:ext uri="{FF2B5EF4-FFF2-40B4-BE49-F238E27FC236}">
              <a16:creationId xmlns:a16="http://schemas.microsoft.com/office/drawing/2014/main" id="{00000000-0008-0000-0000-00002F000000}"/>
            </a:ext>
          </a:extLst>
        </xdr:cNvPr>
        <xdr:cNvSpPr/>
      </xdr:nvSpPr>
      <xdr:spPr>
        <a:xfrm>
          <a:off x="6758940" y="7335879"/>
          <a:ext cx="1490472" cy="1443228"/>
        </a:xfrm>
        <a:prstGeom prst="roundRect">
          <a:avLst/>
        </a:prstGeom>
        <a:ln w="12700"/>
        <a:effectLst>
          <a:outerShdw blurRad="63500" dist="101600" dir="13740000" rotWithShape="0">
            <a:prstClr val="black">
              <a:alpha val="40000"/>
            </a:prstClr>
          </a:outerShdw>
        </a:effectLst>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ctr">
            <a:lnSpc>
              <a:spcPts val="1200"/>
            </a:lnSpc>
          </a:pPr>
          <a:r>
            <a:rPr lang="en-US" sz="1100" b="1" i="1" u="sng">
              <a:solidFill>
                <a:schemeClr val="dk1"/>
              </a:solidFill>
              <a:effectLst/>
              <a:latin typeface="+mn-lt"/>
              <a:ea typeface="+mn-ea"/>
              <a:cs typeface="+mn-cs"/>
            </a:rPr>
            <a:t>Example Audits</a:t>
          </a:r>
        </a:p>
        <a:p>
          <a:pPr algn="ctr"/>
          <a:endParaRPr lang="en-US" sz="500">
            <a:effectLst/>
          </a:endParaRPr>
        </a:p>
        <a:p>
          <a:pPr algn="ctr">
            <a:lnSpc>
              <a:spcPts val="1200"/>
            </a:lnSpc>
          </a:pPr>
          <a:r>
            <a:rPr lang="en-US" sz="1000" b="0" i="0" baseline="0">
              <a:solidFill>
                <a:schemeClr val="dk1"/>
              </a:solidFill>
              <a:effectLst/>
              <a:latin typeface="+mn-lt"/>
              <a:ea typeface="+mn-ea"/>
              <a:cs typeface="+mn-cs"/>
            </a:rPr>
            <a:t>Reporting Worksheet and Performance Indicators examples are shown for two validated audits</a:t>
          </a:r>
          <a:endParaRPr lang="en-US" sz="1000">
            <a:effectLst/>
          </a:endParaRPr>
        </a:p>
      </xdr:txBody>
    </xdr:sp>
    <xdr:clientData/>
  </xdr:twoCellAnchor>
  <xdr:twoCellAnchor>
    <xdr:from>
      <xdr:col>3</xdr:col>
      <xdr:colOff>210094</xdr:colOff>
      <xdr:row>38</xdr:row>
      <xdr:rowOff>101238</xdr:rowOff>
    </xdr:from>
    <xdr:to>
      <xdr:col>5</xdr:col>
      <xdr:colOff>38099</xdr:colOff>
      <xdr:row>45</xdr:row>
      <xdr:rowOff>50946</xdr:rowOff>
    </xdr:to>
    <xdr:sp macro="" textlink="">
      <xdr:nvSpPr>
        <xdr:cNvPr id="48" name="Rounded Rectangle 47">
          <a:hlinkClick xmlns:r="http://schemas.openxmlformats.org/officeDocument/2006/relationships" r:id="rId12"/>
          <a:extLst>
            <a:ext uri="{FF2B5EF4-FFF2-40B4-BE49-F238E27FC236}">
              <a16:creationId xmlns:a16="http://schemas.microsoft.com/office/drawing/2014/main" id="{00000000-0008-0000-0000-000030000000}"/>
            </a:ext>
          </a:extLst>
        </xdr:cNvPr>
        <xdr:cNvSpPr/>
      </xdr:nvSpPr>
      <xdr:spPr>
        <a:xfrm>
          <a:off x="1856014" y="5717178"/>
          <a:ext cx="1534885" cy="1435608"/>
        </a:xfrm>
        <a:prstGeom prst="roundRect">
          <a:avLst/>
        </a:prstGeom>
        <a:ln w="12700"/>
        <a:effectLst>
          <a:outerShdw blurRad="63500" dist="101600" dir="13740000" rotWithShape="0">
            <a:prstClr val="black">
              <a:alpha val="40000"/>
            </a:prstClr>
          </a:outerShdw>
        </a:effectLst>
      </xdr:spPr>
      <xdr:style>
        <a:lnRef idx="2">
          <a:schemeClr val="accent1"/>
        </a:lnRef>
        <a:fillRef idx="1">
          <a:schemeClr val="lt1"/>
        </a:fillRef>
        <a:effectRef idx="0">
          <a:schemeClr val="accent1"/>
        </a:effectRef>
        <a:fontRef idx="minor">
          <a:schemeClr val="dk1"/>
        </a:fontRef>
      </xdr:style>
      <xdr:txBody>
        <a:bodyPr vertOverflow="clip" horzOverflow="clip" wrap="square" rtlCol="0" anchor="t"/>
        <a:lstStyle/>
        <a:p>
          <a:pPr algn="ctr">
            <a:lnSpc>
              <a:spcPts val="900"/>
            </a:lnSpc>
          </a:pPr>
          <a:r>
            <a:rPr lang="en-US" sz="1100" b="1" i="1" u="sng">
              <a:solidFill>
                <a:schemeClr val="dk1"/>
              </a:solidFill>
              <a:effectLst/>
              <a:latin typeface="+mn-lt"/>
              <a:ea typeface="+mn-ea"/>
              <a:cs typeface="+mn-cs"/>
            </a:rPr>
            <a:t>Reporting Worksheet</a:t>
          </a:r>
        </a:p>
        <a:p>
          <a:pPr algn="ctr">
            <a:lnSpc>
              <a:spcPts val="400"/>
            </a:lnSpc>
          </a:pPr>
          <a:endParaRPr lang="en-US" sz="500">
            <a:effectLst/>
          </a:endParaRPr>
        </a:p>
        <a:p>
          <a:pPr algn="ctr"/>
          <a:r>
            <a:rPr lang="en-US" sz="1000" b="0" i="0">
              <a:solidFill>
                <a:schemeClr val="dk1"/>
              </a:solidFill>
              <a:effectLst/>
              <a:latin typeface="+mn-lt"/>
              <a:ea typeface="+mn-ea"/>
              <a:cs typeface="+mn-cs"/>
            </a:rPr>
            <a:t>Enter the required data on this worksheet to calculate the water balance</a:t>
          </a:r>
          <a:r>
            <a:rPr lang="en-US" sz="1000" b="0" i="0" baseline="0">
              <a:solidFill>
                <a:schemeClr val="dk1"/>
              </a:solidFill>
              <a:effectLst/>
              <a:latin typeface="+mn-lt"/>
              <a:ea typeface="+mn-ea"/>
              <a:cs typeface="+mn-cs"/>
            </a:rPr>
            <a:t> and data grading</a:t>
          </a:r>
          <a:endParaRPr lang="en-US" sz="1000">
            <a:effectLst/>
          </a:endParaRP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3</xdr:col>
      <xdr:colOff>213360</xdr:colOff>
      <xdr:row>58</xdr:row>
      <xdr:rowOff>203835</xdr:rowOff>
    </xdr:from>
    <xdr:to>
      <xdr:col>6</xdr:col>
      <xdr:colOff>1116422</xdr:colOff>
      <xdr:row>58</xdr:row>
      <xdr:rowOff>444365</xdr:rowOff>
    </xdr:to>
    <xdr:sp macro="" textlink="">
      <xdr:nvSpPr>
        <xdr:cNvPr id="10288" name="Text Box 48">
          <a:extLst>
            <a:ext uri="{FF2B5EF4-FFF2-40B4-BE49-F238E27FC236}">
              <a16:creationId xmlns:a16="http://schemas.microsoft.com/office/drawing/2014/main" id="{00000000-0008-0000-0900-000030280000}"/>
            </a:ext>
          </a:extLst>
        </xdr:cNvPr>
        <xdr:cNvSpPr txBox="1">
          <a:spLocks noChangeArrowheads="1"/>
        </xdr:cNvSpPr>
      </xdr:nvSpPr>
      <xdr:spPr bwMode="auto">
        <a:xfrm>
          <a:off x="1524000" y="42967275"/>
          <a:ext cx="3370039" cy="238125"/>
        </a:xfrm>
        <a:prstGeom prst="rect">
          <a:avLst/>
        </a:prstGeom>
        <a:noFill/>
        <a:ln w="12700" algn="ctr">
          <a:noFill/>
          <a:miter lim="800000"/>
          <a:headEnd/>
          <a:tailEnd/>
        </a:ln>
        <a:effectLst/>
      </xdr:spPr>
      <xdr:txBody>
        <a:bodyPr vertOverflow="clip" wrap="square" lIns="27432" tIns="22860" rIns="0" bIns="0" anchor="t" upright="1"/>
        <a:lstStyle/>
        <a:p>
          <a:pPr algn="ctr" rtl="0">
            <a:defRPr sz="1000"/>
          </a:pPr>
          <a:r>
            <a:rPr lang="en-US" sz="1000" b="0" i="0" u="none" strike="noStrike" baseline="0">
              <a:solidFill>
                <a:srgbClr val="000000"/>
              </a:solidFill>
              <a:latin typeface="Arial" panose="020B0604020202020204" pitchFamily="34" charset="0"/>
              <a:cs typeface="Arial" panose="020B0604020202020204" pitchFamily="34" charset="0"/>
            </a:rPr>
            <a:t>To use the default percent value choose this button</a:t>
          </a:r>
        </a:p>
      </xdr:txBody>
    </xdr:sp>
    <xdr:clientData/>
  </xdr:twoCellAnchor>
  <xdr:twoCellAnchor>
    <xdr:from>
      <xdr:col>7</xdr:col>
      <xdr:colOff>80009</xdr:colOff>
      <xdr:row>58</xdr:row>
      <xdr:rowOff>148590</xdr:rowOff>
    </xdr:from>
    <xdr:to>
      <xdr:col>11</xdr:col>
      <xdr:colOff>259093</xdr:colOff>
      <xdr:row>58</xdr:row>
      <xdr:rowOff>388624</xdr:rowOff>
    </xdr:to>
    <xdr:sp macro="" textlink="">
      <xdr:nvSpPr>
        <xdr:cNvPr id="10291" name="Text Box 51">
          <a:extLst>
            <a:ext uri="{FF2B5EF4-FFF2-40B4-BE49-F238E27FC236}">
              <a16:creationId xmlns:a16="http://schemas.microsoft.com/office/drawing/2014/main" id="{00000000-0008-0000-0900-000033280000}"/>
            </a:ext>
          </a:extLst>
        </xdr:cNvPr>
        <xdr:cNvSpPr txBox="1">
          <a:spLocks noChangeArrowheads="1"/>
        </xdr:cNvSpPr>
      </xdr:nvSpPr>
      <xdr:spPr bwMode="auto">
        <a:xfrm>
          <a:off x="5240654" y="42912030"/>
          <a:ext cx="4657725" cy="247535"/>
        </a:xfrm>
        <a:prstGeom prst="rect">
          <a:avLst/>
        </a:prstGeom>
        <a:noFill/>
        <a:ln w="12700" algn="ctr">
          <a:noFill/>
          <a:miter lim="800000"/>
          <a:headEnd/>
          <a:tailEnd/>
        </a:ln>
        <a:effectLst/>
      </xdr:spPr>
      <xdr:txBody>
        <a:bodyPr vertOverflow="clip" wrap="square" lIns="27432" tIns="22860" rIns="0" bIns="0" anchor="t" upright="1"/>
        <a:lstStyle/>
        <a:p>
          <a:pPr algn="ctr" rtl="0">
            <a:defRPr sz="1000"/>
          </a:pPr>
          <a:r>
            <a:rPr lang="en-US" sz="1000" b="0" i="0" u="none" strike="noStrike" baseline="0">
              <a:solidFill>
                <a:srgbClr val="000000"/>
              </a:solidFill>
              <a:latin typeface="Arial" panose="020B0604020202020204" pitchFamily="34" charset="0"/>
              <a:cs typeface="Arial" panose="020B0604020202020204" pitchFamily="34" charset="0"/>
            </a:rPr>
            <a:t>To enter a value choose this button and enter the value in the cell to the right</a:t>
          </a:r>
        </a:p>
      </xdr:txBody>
    </xdr:sp>
    <xdr:clientData/>
  </xdr:twoCellAnchor>
  <xdr:twoCellAnchor>
    <xdr:from>
      <xdr:col>3</xdr:col>
      <xdr:colOff>158115</xdr:colOff>
      <xdr:row>58</xdr:row>
      <xdr:rowOff>1226820</xdr:rowOff>
    </xdr:from>
    <xdr:to>
      <xdr:col>11</xdr:col>
      <xdr:colOff>91443</xdr:colOff>
      <xdr:row>58</xdr:row>
      <xdr:rowOff>1927860</xdr:rowOff>
    </xdr:to>
    <xdr:sp macro="" textlink="">
      <xdr:nvSpPr>
        <xdr:cNvPr id="10294" name="Text Box 54">
          <a:extLst>
            <a:ext uri="{FF2B5EF4-FFF2-40B4-BE49-F238E27FC236}">
              <a16:creationId xmlns:a16="http://schemas.microsoft.com/office/drawing/2014/main" id="{00000000-0008-0000-0900-000036280000}"/>
            </a:ext>
          </a:extLst>
        </xdr:cNvPr>
        <xdr:cNvSpPr txBox="1">
          <a:spLocks noChangeArrowheads="1"/>
        </xdr:cNvSpPr>
      </xdr:nvSpPr>
      <xdr:spPr bwMode="auto">
        <a:xfrm>
          <a:off x="1470660" y="43990260"/>
          <a:ext cx="8269608" cy="701040"/>
        </a:xfrm>
        <a:prstGeom prst="rect">
          <a:avLst/>
        </a:prstGeom>
        <a:noFill/>
        <a:ln w="12700" algn="ctr">
          <a:noFill/>
          <a:miter lim="800000"/>
          <a:headEnd/>
          <a:tailEnd/>
        </a:ln>
        <a:effectLst/>
      </xdr:spPr>
      <xdr:txBody>
        <a:bodyPr vertOverflow="clip" wrap="square" lIns="27432" tIns="27432" rIns="0" bIns="0" anchor="t" upright="1"/>
        <a:lstStyle/>
        <a:p>
          <a:pPr algn="l" rtl="0">
            <a:defRPr sz="1000"/>
          </a:pPr>
          <a:r>
            <a:rPr lang="en-US" sz="1000" b="1" i="0" u="none" strike="noStrike" baseline="0">
              <a:solidFill>
                <a:srgbClr val="000000"/>
              </a:solidFill>
              <a:latin typeface="Arial" panose="020B0604020202020204" pitchFamily="34" charset="0"/>
              <a:cs typeface="Arial" panose="020B0604020202020204" pitchFamily="34" charset="0"/>
            </a:rPr>
            <a:t>NOTE:</a:t>
          </a:r>
          <a:r>
            <a:rPr lang="en-US" sz="1000" b="0" i="0" u="none" strike="noStrike" baseline="0">
              <a:solidFill>
                <a:srgbClr val="000000"/>
              </a:solidFill>
              <a:latin typeface="Arial" panose="020B0604020202020204" pitchFamily="34" charset="0"/>
              <a:cs typeface="Arial" panose="020B0604020202020204" pitchFamily="34" charset="0"/>
            </a:rPr>
            <a:t> For Unbilled Unmetered Consumption, Unauthorized Consumption and Systematic Data Handling Errors, a recommended default value can be applied by selecting the Percent option. The default values are based on fixed percentages of Water Supplied or Billed Authorized Consumption and are recommended for use in this audit unless the auditor has well validated data for their system. Default values are shown by purple cells, as shown in the example above.</a:t>
          </a:r>
        </a:p>
      </xdr:txBody>
    </xdr:sp>
    <xdr:clientData/>
  </xdr:twoCellAnchor>
  <xdr:twoCellAnchor>
    <xdr:from>
      <xdr:col>3</xdr:col>
      <xdr:colOff>144780</xdr:colOff>
      <xdr:row>58</xdr:row>
      <xdr:rowOff>1935480</xdr:rowOff>
    </xdr:from>
    <xdr:to>
      <xdr:col>11</xdr:col>
      <xdr:colOff>80019</xdr:colOff>
      <xdr:row>58</xdr:row>
      <xdr:rowOff>2320290</xdr:rowOff>
    </xdr:to>
    <xdr:sp macro="" textlink="">
      <xdr:nvSpPr>
        <xdr:cNvPr id="10298" name="Text Box 58">
          <a:extLst>
            <a:ext uri="{FF2B5EF4-FFF2-40B4-BE49-F238E27FC236}">
              <a16:creationId xmlns:a16="http://schemas.microsoft.com/office/drawing/2014/main" id="{00000000-0008-0000-0900-00003A280000}"/>
            </a:ext>
          </a:extLst>
        </xdr:cNvPr>
        <xdr:cNvSpPr txBox="1">
          <a:spLocks noChangeArrowheads="1"/>
        </xdr:cNvSpPr>
      </xdr:nvSpPr>
      <xdr:spPr bwMode="auto">
        <a:xfrm>
          <a:off x="1455420" y="43411140"/>
          <a:ext cx="7968615" cy="403860"/>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US" sz="1000" b="0" i="0" u="none" strike="noStrike" baseline="0">
              <a:solidFill>
                <a:srgbClr val="000000"/>
              </a:solidFill>
              <a:latin typeface="Arial" panose="020B0604020202020204" pitchFamily="34" charset="0"/>
              <a:cs typeface="Arial" panose="020B0604020202020204" pitchFamily="34" charset="0"/>
            </a:rPr>
            <a:t>If a default value is selected, the user does not need to grade the item; a grading value of 5 is automatically applied (however, this grade will not be displayed).</a:t>
          </a:r>
        </a:p>
      </xdr:txBody>
    </xdr:sp>
    <xdr:clientData/>
  </xdr:twoCellAnchor>
  <xdr:twoCellAnchor>
    <xdr:from>
      <xdr:col>5</xdr:col>
      <xdr:colOff>2308860</xdr:colOff>
      <xdr:row>2</xdr:row>
      <xdr:rowOff>53340</xdr:rowOff>
    </xdr:from>
    <xdr:to>
      <xdr:col>6</xdr:col>
      <xdr:colOff>60960</xdr:colOff>
      <xdr:row>2</xdr:row>
      <xdr:rowOff>396240</xdr:rowOff>
    </xdr:to>
    <xdr:sp macro="" textlink="">
      <xdr:nvSpPr>
        <xdr:cNvPr id="14" name="Text Box 474">
          <a:extLst>
            <a:ext uri="{FF2B5EF4-FFF2-40B4-BE49-F238E27FC236}">
              <a16:creationId xmlns:a16="http://schemas.microsoft.com/office/drawing/2014/main" id="{00000000-0008-0000-0900-00000E000000}"/>
            </a:ext>
          </a:extLst>
        </xdr:cNvPr>
        <xdr:cNvSpPr txBox="1">
          <a:spLocks noChangeArrowheads="1"/>
        </xdr:cNvSpPr>
      </xdr:nvSpPr>
      <xdr:spPr bwMode="auto">
        <a:xfrm>
          <a:off x="6012180" y="289560"/>
          <a:ext cx="1844040" cy="320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2013,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10</xdr:col>
      <xdr:colOff>150495</xdr:colOff>
      <xdr:row>1</xdr:row>
      <xdr:rowOff>38101</xdr:rowOff>
    </xdr:from>
    <xdr:to>
      <xdr:col>11</xdr:col>
      <xdr:colOff>379095</xdr:colOff>
      <xdr:row>1</xdr:row>
      <xdr:rowOff>266701</xdr:rowOff>
    </xdr:to>
    <xdr:sp macro="" textlink="">
      <xdr:nvSpPr>
        <xdr:cNvPr id="15" name="Text Box 706">
          <a:extLst>
            <a:ext uri="{FF2B5EF4-FFF2-40B4-BE49-F238E27FC236}">
              <a16:creationId xmlns:a16="http://schemas.microsoft.com/office/drawing/2014/main" id="{00000000-0008-0000-0900-00000F000000}"/>
            </a:ext>
          </a:extLst>
        </xdr:cNvPr>
        <xdr:cNvSpPr txBox="1">
          <a:spLocks noChangeArrowheads="1"/>
        </xdr:cNvSpPr>
      </xdr:nvSpPr>
      <xdr:spPr bwMode="auto">
        <a:xfrm>
          <a:off x="9090660" y="114301"/>
          <a:ext cx="685800" cy="228600"/>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US" sz="900" b="0" i="0" u="none" strike="noStrike" baseline="0">
              <a:solidFill>
                <a:srgbClr val="FFFFFF"/>
              </a:solidFill>
              <a:latin typeface="Arial"/>
              <a:cs typeface="Arial"/>
            </a:rPr>
            <a:t> WAS v5.0</a:t>
          </a:r>
          <a:endParaRPr lang="en-US" sz="1050"/>
        </a:p>
      </xdr:txBody>
    </xdr:sp>
    <xdr:clientData/>
  </xdr:twoCellAnchor>
  <xdr:twoCellAnchor editAs="oneCell">
    <xdr:from>
      <xdr:col>1</xdr:col>
      <xdr:colOff>91440</xdr:colOff>
      <xdr:row>1</xdr:row>
      <xdr:rowOff>68580</xdr:rowOff>
    </xdr:from>
    <xdr:to>
      <xdr:col>2</xdr:col>
      <xdr:colOff>419100</xdr:colOff>
      <xdr:row>1</xdr:row>
      <xdr:rowOff>487680</xdr:rowOff>
    </xdr:to>
    <xdr:pic>
      <xdr:nvPicPr>
        <xdr:cNvPr id="5997024" name="Picture 9">
          <a:hlinkClick xmlns:r="http://schemas.openxmlformats.org/officeDocument/2006/relationships" r:id="rId1"/>
          <a:extLst>
            <a:ext uri="{FF2B5EF4-FFF2-40B4-BE49-F238E27FC236}">
              <a16:creationId xmlns:a16="http://schemas.microsoft.com/office/drawing/2014/main" id="{00000000-0008-0000-0900-0000E0815B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82880" y="144780"/>
          <a:ext cx="419100" cy="419100"/>
        </a:xfrm>
        <a:prstGeom prst="rect">
          <a:avLst/>
        </a:prstGeom>
        <a:solidFill>
          <a:srgbClr val="1F497D">
            <a:alpha val="0"/>
          </a:srgbClr>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613410</xdr:colOff>
      <xdr:row>1</xdr:row>
      <xdr:rowOff>198120</xdr:rowOff>
    </xdr:from>
    <xdr:to>
      <xdr:col>11</xdr:col>
      <xdr:colOff>502910</xdr:colOff>
      <xdr:row>2</xdr:row>
      <xdr:rowOff>38273</xdr:rowOff>
    </xdr:to>
    <xdr:sp macro="" textlink="">
      <xdr:nvSpPr>
        <xdr:cNvPr id="18" name="Text Box 474">
          <a:extLst>
            <a:ext uri="{FF2B5EF4-FFF2-40B4-BE49-F238E27FC236}">
              <a16:creationId xmlns:a16="http://schemas.microsoft.com/office/drawing/2014/main" id="{00000000-0008-0000-0900-000012000000}"/>
            </a:ext>
          </a:extLst>
        </xdr:cNvPr>
        <xdr:cNvSpPr txBox="1">
          <a:spLocks noChangeArrowheads="1"/>
        </xdr:cNvSpPr>
      </xdr:nvSpPr>
      <xdr:spPr bwMode="auto">
        <a:xfrm>
          <a:off x="7917180" y="281940"/>
          <a:ext cx="184404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2014,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6</xdr:col>
      <xdr:colOff>76200</xdr:colOff>
      <xdr:row>58</xdr:row>
      <xdr:rowOff>647700</xdr:rowOff>
    </xdr:from>
    <xdr:to>
      <xdr:col>7</xdr:col>
      <xdr:colOff>1021080</xdr:colOff>
      <xdr:row>58</xdr:row>
      <xdr:rowOff>1165860</xdr:rowOff>
    </xdr:to>
    <xdr:pic>
      <xdr:nvPicPr>
        <xdr:cNvPr id="5997026" name="Picture 18">
          <a:extLst>
            <a:ext uri="{FF2B5EF4-FFF2-40B4-BE49-F238E27FC236}">
              <a16:creationId xmlns:a16="http://schemas.microsoft.com/office/drawing/2014/main" id="{00000000-0008-0000-0900-0000E2815B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l="56194" t="66855" r="27975" b="26654"/>
        <a:stretch>
          <a:fillRect/>
        </a:stretch>
      </xdr:blipFill>
      <xdr:spPr bwMode="auto">
        <a:xfrm>
          <a:off x="3855720" y="43411140"/>
          <a:ext cx="2316480" cy="5181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1097280</xdr:colOff>
      <xdr:row>58</xdr:row>
      <xdr:rowOff>335280</xdr:rowOff>
    </xdr:from>
    <xdr:to>
      <xdr:col>6</xdr:col>
      <xdr:colOff>1371600</xdr:colOff>
      <xdr:row>58</xdr:row>
      <xdr:rowOff>800100</xdr:rowOff>
    </xdr:to>
    <xdr:sp macro="" textlink="">
      <xdr:nvSpPr>
        <xdr:cNvPr id="5997027" name="Line 55">
          <a:extLst>
            <a:ext uri="{FF2B5EF4-FFF2-40B4-BE49-F238E27FC236}">
              <a16:creationId xmlns:a16="http://schemas.microsoft.com/office/drawing/2014/main" id="{00000000-0008-0000-0900-0000E3815B00}"/>
            </a:ext>
          </a:extLst>
        </xdr:cNvPr>
        <xdr:cNvSpPr>
          <a:spLocks noChangeShapeType="1"/>
        </xdr:cNvSpPr>
      </xdr:nvSpPr>
      <xdr:spPr bwMode="auto">
        <a:xfrm flipH="1">
          <a:off x="4876800" y="43098720"/>
          <a:ext cx="274320" cy="464820"/>
        </a:xfrm>
        <a:prstGeom prst="line">
          <a:avLst/>
        </a:prstGeom>
        <a:noFill/>
        <a:ln w="12700" cap="rnd">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457200</xdr:colOff>
      <xdr:row>58</xdr:row>
      <xdr:rowOff>411480</xdr:rowOff>
    </xdr:from>
    <xdr:to>
      <xdr:col>6</xdr:col>
      <xdr:colOff>830580</xdr:colOff>
      <xdr:row>58</xdr:row>
      <xdr:rowOff>807720</xdr:rowOff>
    </xdr:to>
    <xdr:sp macro="" textlink="">
      <xdr:nvSpPr>
        <xdr:cNvPr id="5997028" name="Line 49">
          <a:extLst>
            <a:ext uri="{FF2B5EF4-FFF2-40B4-BE49-F238E27FC236}">
              <a16:creationId xmlns:a16="http://schemas.microsoft.com/office/drawing/2014/main" id="{00000000-0008-0000-0900-0000E4815B00}"/>
            </a:ext>
          </a:extLst>
        </xdr:cNvPr>
        <xdr:cNvSpPr>
          <a:spLocks noChangeShapeType="1"/>
        </xdr:cNvSpPr>
      </xdr:nvSpPr>
      <xdr:spPr bwMode="auto">
        <a:xfrm>
          <a:off x="4236720" y="43174920"/>
          <a:ext cx="373380" cy="396240"/>
        </a:xfrm>
        <a:prstGeom prst="line">
          <a:avLst/>
        </a:prstGeom>
        <a:noFill/>
        <a:ln w="12700" cap="rnd">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160020</xdr:colOff>
      <xdr:row>58</xdr:row>
      <xdr:rowOff>396240</xdr:rowOff>
    </xdr:from>
    <xdr:to>
      <xdr:col>9</xdr:col>
      <xdr:colOff>899160</xdr:colOff>
      <xdr:row>58</xdr:row>
      <xdr:rowOff>967740</xdr:rowOff>
    </xdr:to>
    <xdr:sp macro="" textlink="">
      <xdr:nvSpPr>
        <xdr:cNvPr id="5997029" name="Line 52">
          <a:extLst>
            <a:ext uri="{FF2B5EF4-FFF2-40B4-BE49-F238E27FC236}">
              <a16:creationId xmlns:a16="http://schemas.microsoft.com/office/drawing/2014/main" id="{00000000-0008-0000-0900-0000E5815B00}"/>
            </a:ext>
          </a:extLst>
        </xdr:cNvPr>
        <xdr:cNvSpPr>
          <a:spLocks noChangeShapeType="1"/>
        </xdr:cNvSpPr>
      </xdr:nvSpPr>
      <xdr:spPr bwMode="auto">
        <a:xfrm flipH="1">
          <a:off x="5311140" y="43159680"/>
          <a:ext cx="3139440" cy="571500"/>
        </a:xfrm>
        <a:prstGeom prst="line">
          <a:avLst/>
        </a:prstGeom>
        <a:noFill/>
        <a:ln w="12700" cap="rnd">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2</xdr:col>
      <xdr:colOff>165735</xdr:colOff>
      <xdr:row>5</xdr:row>
      <xdr:rowOff>861060</xdr:rowOff>
    </xdr:from>
    <xdr:to>
      <xdr:col>2</xdr:col>
      <xdr:colOff>916324</xdr:colOff>
      <xdr:row>5</xdr:row>
      <xdr:rowOff>1133602</xdr:rowOff>
    </xdr:to>
    <xdr:sp macro="" textlink="">
      <xdr:nvSpPr>
        <xdr:cNvPr id="3" name="Rounded Rectangle 2">
          <a:hlinkClick xmlns:r="http://schemas.openxmlformats.org/officeDocument/2006/relationships" r:id="rId4"/>
          <a:extLst>
            <a:ext uri="{FF2B5EF4-FFF2-40B4-BE49-F238E27FC236}">
              <a16:creationId xmlns:a16="http://schemas.microsoft.com/office/drawing/2014/main" id="{00000000-0008-0000-0900-000003000000}"/>
            </a:ext>
          </a:extLst>
        </xdr:cNvPr>
        <xdr:cNvSpPr/>
      </xdr:nvSpPr>
      <xdr:spPr bwMode="auto">
        <a:xfrm>
          <a:off x="350520" y="1744980"/>
          <a:ext cx="746760" cy="281940"/>
        </a:xfrm>
        <a:prstGeom prst="roundRect">
          <a:avLst/>
        </a:prstGeom>
        <a:solidFill>
          <a:schemeClr val="accent1"/>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7</xdr:row>
      <xdr:rowOff>1600200</xdr:rowOff>
    </xdr:from>
    <xdr:to>
      <xdr:col>2</xdr:col>
      <xdr:colOff>923968</xdr:colOff>
      <xdr:row>7</xdr:row>
      <xdr:rowOff>1874721</xdr:rowOff>
    </xdr:to>
    <xdr:sp macro="" textlink="">
      <xdr:nvSpPr>
        <xdr:cNvPr id="22" name="Rounded Rectangle 21">
          <a:hlinkClick xmlns:r="http://schemas.openxmlformats.org/officeDocument/2006/relationships" r:id="rId5"/>
          <a:extLst>
            <a:ext uri="{FF2B5EF4-FFF2-40B4-BE49-F238E27FC236}">
              <a16:creationId xmlns:a16="http://schemas.microsoft.com/office/drawing/2014/main" id="{00000000-0008-0000-0900-000016000000}"/>
            </a:ext>
          </a:extLst>
        </xdr:cNvPr>
        <xdr:cNvSpPr/>
      </xdr:nvSpPr>
      <xdr:spPr bwMode="auto">
        <a:xfrm>
          <a:off x="365760" y="3794760"/>
          <a:ext cx="746760" cy="281940"/>
        </a:xfrm>
        <a:prstGeom prst="roundRect">
          <a:avLst/>
        </a:prstGeom>
        <a:solidFill>
          <a:schemeClr val="accent1"/>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9</xdr:row>
      <xdr:rowOff>2621280</xdr:rowOff>
    </xdr:from>
    <xdr:to>
      <xdr:col>2</xdr:col>
      <xdr:colOff>931564</xdr:colOff>
      <xdr:row>9</xdr:row>
      <xdr:rowOff>2903220</xdr:rowOff>
    </xdr:to>
    <xdr:sp macro="" textlink="">
      <xdr:nvSpPr>
        <xdr:cNvPr id="23" name="Rounded Rectangle 22">
          <a:hlinkClick xmlns:r="http://schemas.openxmlformats.org/officeDocument/2006/relationships" r:id="rId6"/>
          <a:extLst>
            <a:ext uri="{FF2B5EF4-FFF2-40B4-BE49-F238E27FC236}">
              <a16:creationId xmlns:a16="http://schemas.microsoft.com/office/drawing/2014/main" id="{00000000-0008-0000-0900-000017000000}"/>
            </a:ext>
          </a:extLst>
        </xdr:cNvPr>
        <xdr:cNvSpPr/>
      </xdr:nvSpPr>
      <xdr:spPr bwMode="auto">
        <a:xfrm>
          <a:off x="373380" y="7467600"/>
          <a:ext cx="746760" cy="281940"/>
        </a:xfrm>
        <a:prstGeom prst="roundRect">
          <a:avLst/>
        </a:prstGeom>
        <a:solidFill>
          <a:schemeClr val="accent1"/>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11</xdr:row>
      <xdr:rowOff>807720</xdr:rowOff>
    </xdr:from>
    <xdr:to>
      <xdr:col>2</xdr:col>
      <xdr:colOff>923968</xdr:colOff>
      <xdr:row>11</xdr:row>
      <xdr:rowOff>1082040</xdr:rowOff>
    </xdr:to>
    <xdr:sp macro="" textlink="">
      <xdr:nvSpPr>
        <xdr:cNvPr id="24" name="Rounded Rectangle 23">
          <a:hlinkClick xmlns:r="http://schemas.openxmlformats.org/officeDocument/2006/relationships" r:id="rId7"/>
          <a:extLst>
            <a:ext uri="{FF2B5EF4-FFF2-40B4-BE49-F238E27FC236}">
              <a16:creationId xmlns:a16="http://schemas.microsoft.com/office/drawing/2014/main" id="{00000000-0008-0000-0900-000018000000}"/>
            </a:ext>
          </a:extLst>
        </xdr:cNvPr>
        <xdr:cNvSpPr/>
      </xdr:nvSpPr>
      <xdr:spPr bwMode="auto">
        <a:xfrm>
          <a:off x="365760" y="9189720"/>
          <a:ext cx="746760" cy="281940"/>
        </a:xfrm>
        <a:prstGeom prst="roundRect">
          <a:avLst/>
        </a:prstGeom>
        <a:solidFill>
          <a:schemeClr val="accent1"/>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9</xdr:row>
      <xdr:rowOff>342900</xdr:rowOff>
    </xdr:from>
    <xdr:to>
      <xdr:col>2</xdr:col>
      <xdr:colOff>948808</xdr:colOff>
      <xdr:row>9</xdr:row>
      <xdr:rowOff>1181166</xdr:rowOff>
    </xdr:to>
    <xdr:sp macro="" textlink="">
      <xdr:nvSpPr>
        <xdr:cNvPr id="25" name="Rounded Rectangle 24">
          <a:hlinkClick xmlns:r="http://schemas.openxmlformats.org/officeDocument/2006/relationships" r:id="rId8"/>
          <a:extLst>
            <a:ext uri="{FF2B5EF4-FFF2-40B4-BE49-F238E27FC236}">
              <a16:creationId xmlns:a16="http://schemas.microsoft.com/office/drawing/2014/main" id="{00000000-0008-0000-0900-000019000000}"/>
            </a:ext>
          </a:extLst>
        </xdr:cNvPr>
        <xdr:cNvSpPr/>
      </xdr:nvSpPr>
      <xdr:spPr bwMode="auto">
        <a:xfrm>
          <a:off x="365760" y="5196840"/>
          <a:ext cx="762000" cy="853440"/>
        </a:xfrm>
        <a:prstGeom prst="roundRect">
          <a:avLst/>
        </a:prstGeom>
        <a:solidFill>
          <a:schemeClr val="accent1"/>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View</a:t>
          </a:r>
          <a:r>
            <a:rPr lang="en-US" sz="1100" baseline="0">
              <a:solidFill>
                <a:schemeClr val="bg1"/>
              </a:solidFill>
            </a:rPr>
            <a:t> Service Connection Diagram</a:t>
          </a:r>
          <a:endParaRPr lang="en-US" sz="1100">
            <a:solidFill>
              <a:schemeClr val="bg1"/>
            </a:solidFill>
          </a:endParaRPr>
        </a:p>
      </xdr:txBody>
    </xdr:sp>
    <xdr:clientData/>
  </xdr:twoCellAnchor>
  <xdr:twoCellAnchor>
    <xdr:from>
      <xdr:col>2</xdr:col>
      <xdr:colOff>165735</xdr:colOff>
      <xdr:row>15</xdr:row>
      <xdr:rowOff>756285</xdr:rowOff>
    </xdr:from>
    <xdr:to>
      <xdr:col>2</xdr:col>
      <xdr:colOff>916324</xdr:colOff>
      <xdr:row>15</xdr:row>
      <xdr:rowOff>1045845</xdr:rowOff>
    </xdr:to>
    <xdr:sp macro="" textlink="">
      <xdr:nvSpPr>
        <xdr:cNvPr id="26" name="Rounded Rectangle 25">
          <a:hlinkClick xmlns:r="http://schemas.openxmlformats.org/officeDocument/2006/relationships" r:id="rId9"/>
          <a:extLst>
            <a:ext uri="{FF2B5EF4-FFF2-40B4-BE49-F238E27FC236}">
              <a16:creationId xmlns:a16="http://schemas.microsoft.com/office/drawing/2014/main" id="{00000000-0008-0000-0900-00001A000000}"/>
            </a:ext>
          </a:extLst>
        </xdr:cNvPr>
        <xdr:cNvSpPr/>
      </xdr:nvSpPr>
      <xdr:spPr bwMode="auto">
        <a:xfrm>
          <a:off x="350520" y="10972800"/>
          <a:ext cx="746760" cy="281940"/>
        </a:xfrm>
        <a:prstGeom prst="roundRect">
          <a:avLst/>
        </a:prstGeom>
        <a:solidFill>
          <a:schemeClr val="accent1"/>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203835</xdr:colOff>
      <xdr:row>17</xdr:row>
      <xdr:rowOff>556260</xdr:rowOff>
    </xdr:from>
    <xdr:to>
      <xdr:col>2</xdr:col>
      <xdr:colOff>954424</xdr:colOff>
      <xdr:row>17</xdr:row>
      <xdr:rowOff>838200</xdr:rowOff>
    </xdr:to>
    <xdr:sp macro="" textlink="">
      <xdr:nvSpPr>
        <xdr:cNvPr id="27" name="Rounded Rectangle 26">
          <a:hlinkClick xmlns:r="http://schemas.openxmlformats.org/officeDocument/2006/relationships" r:id="rId10"/>
          <a:extLst>
            <a:ext uri="{FF2B5EF4-FFF2-40B4-BE49-F238E27FC236}">
              <a16:creationId xmlns:a16="http://schemas.microsoft.com/office/drawing/2014/main" id="{00000000-0008-0000-0900-00001B000000}"/>
            </a:ext>
          </a:extLst>
        </xdr:cNvPr>
        <xdr:cNvSpPr/>
      </xdr:nvSpPr>
      <xdr:spPr bwMode="auto">
        <a:xfrm>
          <a:off x="388620" y="12077700"/>
          <a:ext cx="746760" cy="281940"/>
        </a:xfrm>
        <a:prstGeom prst="roundRect">
          <a:avLst/>
        </a:prstGeom>
        <a:solidFill>
          <a:schemeClr val="accent1"/>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19</xdr:row>
      <xdr:rowOff>1988820</xdr:rowOff>
    </xdr:from>
    <xdr:to>
      <xdr:col>2</xdr:col>
      <xdr:colOff>931564</xdr:colOff>
      <xdr:row>19</xdr:row>
      <xdr:rowOff>2265258</xdr:rowOff>
    </xdr:to>
    <xdr:sp macro="" textlink="">
      <xdr:nvSpPr>
        <xdr:cNvPr id="29" name="Rounded Rectangle 28">
          <a:hlinkClick xmlns:r="http://schemas.openxmlformats.org/officeDocument/2006/relationships" r:id="rId11"/>
          <a:extLst>
            <a:ext uri="{FF2B5EF4-FFF2-40B4-BE49-F238E27FC236}">
              <a16:creationId xmlns:a16="http://schemas.microsoft.com/office/drawing/2014/main" id="{00000000-0008-0000-0900-00001D000000}"/>
            </a:ext>
          </a:extLst>
        </xdr:cNvPr>
        <xdr:cNvSpPr/>
      </xdr:nvSpPr>
      <xdr:spPr bwMode="auto">
        <a:xfrm>
          <a:off x="373380" y="15217140"/>
          <a:ext cx="746760" cy="281940"/>
        </a:xfrm>
        <a:prstGeom prst="roundRect">
          <a:avLst/>
        </a:prstGeom>
        <a:solidFill>
          <a:schemeClr val="accent1"/>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175260</xdr:colOff>
      <xdr:row>21</xdr:row>
      <xdr:rowOff>1434465</xdr:rowOff>
    </xdr:from>
    <xdr:to>
      <xdr:col>2</xdr:col>
      <xdr:colOff>916348</xdr:colOff>
      <xdr:row>21</xdr:row>
      <xdr:rowOff>1716405</xdr:rowOff>
    </xdr:to>
    <xdr:sp macro="" textlink="">
      <xdr:nvSpPr>
        <xdr:cNvPr id="30" name="Rounded Rectangle 29">
          <a:hlinkClick xmlns:r="http://schemas.openxmlformats.org/officeDocument/2006/relationships" r:id="rId12"/>
          <a:extLst>
            <a:ext uri="{FF2B5EF4-FFF2-40B4-BE49-F238E27FC236}">
              <a16:creationId xmlns:a16="http://schemas.microsoft.com/office/drawing/2014/main" id="{00000000-0008-0000-0900-00001E000000}"/>
            </a:ext>
          </a:extLst>
        </xdr:cNvPr>
        <xdr:cNvSpPr/>
      </xdr:nvSpPr>
      <xdr:spPr bwMode="auto">
        <a:xfrm>
          <a:off x="358140" y="17853660"/>
          <a:ext cx="746760" cy="281940"/>
        </a:xfrm>
        <a:prstGeom prst="roundRect">
          <a:avLst/>
        </a:prstGeom>
        <a:solidFill>
          <a:schemeClr val="accent1"/>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23</xdr:row>
      <xdr:rowOff>533400</xdr:rowOff>
    </xdr:from>
    <xdr:to>
      <xdr:col>2</xdr:col>
      <xdr:colOff>931564</xdr:colOff>
      <xdr:row>23</xdr:row>
      <xdr:rowOff>807921</xdr:rowOff>
    </xdr:to>
    <xdr:sp macro="" textlink="">
      <xdr:nvSpPr>
        <xdr:cNvPr id="31" name="Rounded Rectangle 30">
          <a:hlinkClick xmlns:r="http://schemas.openxmlformats.org/officeDocument/2006/relationships" r:id="rId13"/>
          <a:extLst>
            <a:ext uri="{FF2B5EF4-FFF2-40B4-BE49-F238E27FC236}">
              <a16:creationId xmlns:a16="http://schemas.microsoft.com/office/drawing/2014/main" id="{00000000-0008-0000-0900-00001F000000}"/>
            </a:ext>
          </a:extLst>
        </xdr:cNvPr>
        <xdr:cNvSpPr/>
      </xdr:nvSpPr>
      <xdr:spPr bwMode="auto">
        <a:xfrm>
          <a:off x="373380" y="19255740"/>
          <a:ext cx="746760" cy="281940"/>
        </a:xfrm>
        <a:prstGeom prst="roundRect">
          <a:avLst/>
        </a:prstGeom>
        <a:solidFill>
          <a:schemeClr val="accent1"/>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25</xdr:row>
      <xdr:rowOff>1264920</xdr:rowOff>
    </xdr:from>
    <xdr:to>
      <xdr:col>2</xdr:col>
      <xdr:colOff>931564</xdr:colOff>
      <xdr:row>25</xdr:row>
      <xdr:rowOff>1546860</xdr:rowOff>
    </xdr:to>
    <xdr:sp macro="" textlink="">
      <xdr:nvSpPr>
        <xdr:cNvPr id="33" name="Rounded Rectangle 32">
          <a:hlinkClick xmlns:r="http://schemas.openxmlformats.org/officeDocument/2006/relationships" r:id="rId14"/>
          <a:extLst>
            <a:ext uri="{FF2B5EF4-FFF2-40B4-BE49-F238E27FC236}">
              <a16:creationId xmlns:a16="http://schemas.microsoft.com/office/drawing/2014/main" id="{00000000-0008-0000-0900-000021000000}"/>
            </a:ext>
          </a:extLst>
        </xdr:cNvPr>
        <xdr:cNvSpPr/>
      </xdr:nvSpPr>
      <xdr:spPr bwMode="auto">
        <a:xfrm>
          <a:off x="373380" y="20909280"/>
          <a:ext cx="746760" cy="281940"/>
        </a:xfrm>
        <a:prstGeom prst="roundRect">
          <a:avLst/>
        </a:prstGeom>
        <a:solidFill>
          <a:schemeClr val="accent1"/>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27</xdr:row>
      <xdr:rowOff>350520</xdr:rowOff>
    </xdr:from>
    <xdr:to>
      <xdr:col>2</xdr:col>
      <xdr:colOff>923968</xdr:colOff>
      <xdr:row>27</xdr:row>
      <xdr:rowOff>642182</xdr:rowOff>
    </xdr:to>
    <xdr:sp macro="" textlink="">
      <xdr:nvSpPr>
        <xdr:cNvPr id="34" name="Rounded Rectangle 33">
          <a:hlinkClick xmlns:r="http://schemas.openxmlformats.org/officeDocument/2006/relationships" r:id="rId15"/>
          <a:extLst>
            <a:ext uri="{FF2B5EF4-FFF2-40B4-BE49-F238E27FC236}">
              <a16:creationId xmlns:a16="http://schemas.microsoft.com/office/drawing/2014/main" id="{00000000-0008-0000-0900-000022000000}"/>
            </a:ext>
          </a:extLst>
        </xdr:cNvPr>
        <xdr:cNvSpPr/>
      </xdr:nvSpPr>
      <xdr:spPr bwMode="auto">
        <a:xfrm>
          <a:off x="365760" y="21976080"/>
          <a:ext cx="746760" cy="281940"/>
        </a:xfrm>
        <a:prstGeom prst="roundRect">
          <a:avLst/>
        </a:prstGeom>
        <a:solidFill>
          <a:schemeClr val="accent1"/>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29</xdr:row>
      <xdr:rowOff>693420</xdr:rowOff>
    </xdr:from>
    <xdr:to>
      <xdr:col>2</xdr:col>
      <xdr:colOff>931564</xdr:colOff>
      <xdr:row>29</xdr:row>
      <xdr:rowOff>985082</xdr:rowOff>
    </xdr:to>
    <xdr:sp macro="" textlink="">
      <xdr:nvSpPr>
        <xdr:cNvPr id="35" name="Rounded Rectangle 34">
          <a:hlinkClick xmlns:r="http://schemas.openxmlformats.org/officeDocument/2006/relationships" r:id="rId16"/>
          <a:extLst>
            <a:ext uri="{FF2B5EF4-FFF2-40B4-BE49-F238E27FC236}">
              <a16:creationId xmlns:a16="http://schemas.microsoft.com/office/drawing/2014/main" id="{00000000-0008-0000-0900-000023000000}"/>
            </a:ext>
          </a:extLst>
        </xdr:cNvPr>
        <xdr:cNvSpPr/>
      </xdr:nvSpPr>
      <xdr:spPr bwMode="auto">
        <a:xfrm>
          <a:off x="373380" y="23065740"/>
          <a:ext cx="746760" cy="281940"/>
        </a:xfrm>
        <a:prstGeom prst="roundRect">
          <a:avLst/>
        </a:prstGeom>
        <a:solidFill>
          <a:schemeClr val="accent1"/>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196215</xdr:colOff>
      <xdr:row>31</xdr:row>
      <xdr:rowOff>281940</xdr:rowOff>
    </xdr:from>
    <xdr:to>
      <xdr:col>2</xdr:col>
      <xdr:colOff>946804</xdr:colOff>
      <xdr:row>31</xdr:row>
      <xdr:rowOff>563880</xdr:rowOff>
    </xdr:to>
    <xdr:sp macro="" textlink="">
      <xdr:nvSpPr>
        <xdr:cNvPr id="36" name="Rounded Rectangle 35">
          <a:hlinkClick xmlns:r="http://schemas.openxmlformats.org/officeDocument/2006/relationships" r:id="rId17"/>
          <a:extLst>
            <a:ext uri="{FF2B5EF4-FFF2-40B4-BE49-F238E27FC236}">
              <a16:creationId xmlns:a16="http://schemas.microsoft.com/office/drawing/2014/main" id="{00000000-0008-0000-0900-000024000000}"/>
            </a:ext>
          </a:extLst>
        </xdr:cNvPr>
        <xdr:cNvSpPr/>
      </xdr:nvSpPr>
      <xdr:spPr bwMode="auto">
        <a:xfrm>
          <a:off x="381000" y="23736300"/>
          <a:ext cx="746760" cy="281940"/>
        </a:xfrm>
        <a:prstGeom prst="roundRect">
          <a:avLst/>
        </a:prstGeom>
        <a:solidFill>
          <a:schemeClr val="accent1"/>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35</xdr:row>
      <xdr:rowOff>525780</xdr:rowOff>
    </xdr:from>
    <xdr:to>
      <xdr:col>2</xdr:col>
      <xdr:colOff>923968</xdr:colOff>
      <xdr:row>35</xdr:row>
      <xdr:rowOff>807720</xdr:rowOff>
    </xdr:to>
    <xdr:sp macro="" textlink="">
      <xdr:nvSpPr>
        <xdr:cNvPr id="38" name="Rounded Rectangle 37">
          <a:hlinkClick xmlns:r="http://schemas.openxmlformats.org/officeDocument/2006/relationships" r:id="rId18"/>
          <a:extLst>
            <a:ext uri="{FF2B5EF4-FFF2-40B4-BE49-F238E27FC236}">
              <a16:creationId xmlns:a16="http://schemas.microsoft.com/office/drawing/2014/main" id="{00000000-0008-0000-0900-000026000000}"/>
            </a:ext>
          </a:extLst>
        </xdr:cNvPr>
        <xdr:cNvSpPr/>
      </xdr:nvSpPr>
      <xdr:spPr bwMode="auto">
        <a:xfrm>
          <a:off x="365760" y="25107900"/>
          <a:ext cx="746760" cy="281940"/>
        </a:xfrm>
        <a:prstGeom prst="roundRect">
          <a:avLst/>
        </a:prstGeom>
        <a:solidFill>
          <a:schemeClr val="accent1"/>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165735</xdr:colOff>
      <xdr:row>37</xdr:row>
      <xdr:rowOff>2583180</xdr:rowOff>
    </xdr:from>
    <xdr:to>
      <xdr:col>2</xdr:col>
      <xdr:colOff>916324</xdr:colOff>
      <xdr:row>37</xdr:row>
      <xdr:rowOff>2872940</xdr:rowOff>
    </xdr:to>
    <xdr:sp macro="" textlink="">
      <xdr:nvSpPr>
        <xdr:cNvPr id="39" name="Rounded Rectangle 38">
          <a:hlinkClick xmlns:r="http://schemas.openxmlformats.org/officeDocument/2006/relationships" r:id="rId19"/>
          <a:extLst>
            <a:ext uri="{FF2B5EF4-FFF2-40B4-BE49-F238E27FC236}">
              <a16:creationId xmlns:a16="http://schemas.microsoft.com/office/drawing/2014/main" id="{00000000-0008-0000-0900-000027000000}"/>
            </a:ext>
          </a:extLst>
        </xdr:cNvPr>
        <xdr:cNvSpPr/>
      </xdr:nvSpPr>
      <xdr:spPr bwMode="auto">
        <a:xfrm>
          <a:off x="350520" y="27165300"/>
          <a:ext cx="746760" cy="281940"/>
        </a:xfrm>
        <a:prstGeom prst="roundRect">
          <a:avLst/>
        </a:prstGeom>
        <a:solidFill>
          <a:schemeClr val="accent1"/>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196215</xdr:colOff>
      <xdr:row>39</xdr:row>
      <xdr:rowOff>641985</xdr:rowOff>
    </xdr:from>
    <xdr:to>
      <xdr:col>2</xdr:col>
      <xdr:colOff>946804</xdr:colOff>
      <xdr:row>39</xdr:row>
      <xdr:rowOff>931545</xdr:rowOff>
    </xdr:to>
    <xdr:sp macro="" textlink="">
      <xdr:nvSpPr>
        <xdr:cNvPr id="40" name="Rounded Rectangle 39">
          <a:hlinkClick xmlns:r="http://schemas.openxmlformats.org/officeDocument/2006/relationships" r:id="rId20"/>
          <a:extLst>
            <a:ext uri="{FF2B5EF4-FFF2-40B4-BE49-F238E27FC236}">
              <a16:creationId xmlns:a16="http://schemas.microsoft.com/office/drawing/2014/main" id="{00000000-0008-0000-0900-000028000000}"/>
            </a:ext>
          </a:extLst>
        </xdr:cNvPr>
        <xdr:cNvSpPr/>
      </xdr:nvSpPr>
      <xdr:spPr bwMode="auto">
        <a:xfrm>
          <a:off x="381000" y="28895040"/>
          <a:ext cx="746760" cy="281940"/>
        </a:xfrm>
        <a:prstGeom prst="roundRect">
          <a:avLst/>
        </a:prstGeom>
        <a:solidFill>
          <a:schemeClr val="accent1"/>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196215</xdr:colOff>
      <xdr:row>41</xdr:row>
      <xdr:rowOff>1303020</xdr:rowOff>
    </xdr:from>
    <xdr:to>
      <xdr:col>2</xdr:col>
      <xdr:colOff>946804</xdr:colOff>
      <xdr:row>41</xdr:row>
      <xdr:rowOff>1594682</xdr:rowOff>
    </xdr:to>
    <xdr:sp macro="" textlink="">
      <xdr:nvSpPr>
        <xdr:cNvPr id="41" name="Rounded Rectangle 40">
          <a:hlinkClick xmlns:r="http://schemas.openxmlformats.org/officeDocument/2006/relationships" r:id="rId21"/>
          <a:extLst>
            <a:ext uri="{FF2B5EF4-FFF2-40B4-BE49-F238E27FC236}">
              <a16:creationId xmlns:a16="http://schemas.microsoft.com/office/drawing/2014/main" id="{00000000-0008-0000-0900-000029000000}"/>
            </a:ext>
          </a:extLst>
        </xdr:cNvPr>
        <xdr:cNvSpPr/>
      </xdr:nvSpPr>
      <xdr:spPr bwMode="auto">
        <a:xfrm>
          <a:off x="381000" y="30723840"/>
          <a:ext cx="746760" cy="281940"/>
        </a:xfrm>
        <a:prstGeom prst="roundRect">
          <a:avLst/>
        </a:prstGeom>
        <a:solidFill>
          <a:schemeClr val="accent1"/>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44</xdr:row>
      <xdr:rowOff>1053465</xdr:rowOff>
    </xdr:from>
    <xdr:to>
      <xdr:col>2</xdr:col>
      <xdr:colOff>923968</xdr:colOff>
      <xdr:row>44</xdr:row>
      <xdr:rowOff>1335405</xdr:rowOff>
    </xdr:to>
    <xdr:sp macro="" textlink="">
      <xdr:nvSpPr>
        <xdr:cNvPr id="42" name="Rounded Rectangle 41">
          <a:hlinkClick xmlns:r="http://schemas.openxmlformats.org/officeDocument/2006/relationships" r:id="rId22"/>
          <a:extLst>
            <a:ext uri="{FF2B5EF4-FFF2-40B4-BE49-F238E27FC236}">
              <a16:creationId xmlns:a16="http://schemas.microsoft.com/office/drawing/2014/main" id="{00000000-0008-0000-0900-00002A000000}"/>
            </a:ext>
          </a:extLst>
        </xdr:cNvPr>
        <xdr:cNvSpPr/>
      </xdr:nvSpPr>
      <xdr:spPr bwMode="auto">
        <a:xfrm>
          <a:off x="365760" y="34091880"/>
          <a:ext cx="746760" cy="281940"/>
        </a:xfrm>
        <a:prstGeom prst="roundRect">
          <a:avLst/>
        </a:prstGeom>
        <a:solidFill>
          <a:schemeClr val="accent1"/>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48</xdr:row>
      <xdr:rowOff>419100</xdr:rowOff>
    </xdr:from>
    <xdr:to>
      <xdr:col>2</xdr:col>
      <xdr:colOff>931564</xdr:colOff>
      <xdr:row>48</xdr:row>
      <xdr:rowOff>701040</xdr:rowOff>
    </xdr:to>
    <xdr:sp macro="" textlink="">
      <xdr:nvSpPr>
        <xdr:cNvPr id="43" name="Rounded Rectangle 42">
          <a:hlinkClick xmlns:r="http://schemas.openxmlformats.org/officeDocument/2006/relationships" r:id="rId23"/>
          <a:extLst>
            <a:ext uri="{FF2B5EF4-FFF2-40B4-BE49-F238E27FC236}">
              <a16:creationId xmlns:a16="http://schemas.microsoft.com/office/drawing/2014/main" id="{00000000-0008-0000-0900-00002B000000}"/>
            </a:ext>
          </a:extLst>
        </xdr:cNvPr>
        <xdr:cNvSpPr/>
      </xdr:nvSpPr>
      <xdr:spPr bwMode="auto">
        <a:xfrm>
          <a:off x="373380" y="37086540"/>
          <a:ext cx="746760" cy="281940"/>
        </a:xfrm>
        <a:prstGeom prst="roundRect">
          <a:avLst/>
        </a:prstGeom>
        <a:solidFill>
          <a:schemeClr val="accent1"/>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196215</xdr:colOff>
      <xdr:row>50</xdr:row>
      <xdr:rowOff>1455420</xdr:rowOff>
    </xdr:from>
    <xdr:to>
      <xdr:col>2</xdr:col>
      <xdr:colOff>946804</xdr:colOff>
      <xdr:row>50</xdr:row>
      <xdr:rowOff>1737360</xdr:rowOff>
    </xdr:to>
    <xdr:sp macro="" textlink="">
      <xdr:nvSpPr>
        <xdr:cNvPr id="44" name="Rounded Rectangle 43">
          <a:hlinkClick xmlns:r="http://schemas.openxmlformats.org/officeDocument/2006/relationships" r:id="rId24"/>
          <a:extLst>
            <a:ext uri="{FF2B5EF4-FFF2-40B4-BE49-F238E27FC236}">
              <a16:creationId xmlns:a16="http://schemas.microsoft.com/office/drawing/2014/main" id="{00000000-0008-0000-0900-00002C000000}"/>
            </a:ext>
          </a:extLst>
        </xdr:cNvPr>
        <xdr:cNvSpPr/>
      </xdr:nvSpPr>
      <xdr:spPr bwMode="auto">
        <a:xfrm>
          <a:off x="381000" y="38961060"/>
          <a:ext cx="746760" cy="281940"/>
        </a:xfrm>
        <a:prstGeom prst="roundRect">
          <a:avLst/>
        </a:prstGeom>
        <a:solidFill>
          <a:schemeClr val="accent1"/>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60</xdr:row>
      <xdr:rowOff>1327785</xdr:rowOff>
    </xdr:from>
    <xdr:to>
      <xdr:col>2</xdr:col>
      <xdr:colOff>931564</xdr:colOff>
      <xdr:row>60</xdr:row>
      <xdr:rowOff>1617345</xdr:rowOff>
    </xdr:to>
    <xdr:sp macro="" textlink="">
      <xdr:nvSpPr>
        <xdr:cNvPr id="37" name="Rounded Rectangle 36">
          <a:hlinkClick xmlns:r="http://schemas.openxmlformats.org/officeDocument/2006/relationships" r:id="rId25"/>
          <a:extLst>
            <a:ext uri="{FF2B5EF4-FFF2-40B4-BE49-F238E27FC236}">
              <a16:creationId xmlns:a16="http://schemas.microsoft.com/office/drawing/2014/main" id="{00000000-0008-0000-0900-000025000000}"/>
            </a:ext>
          </a:extLst>
        </xdr:cNvPr>
        <xdr:cNvSpPr/>
      </xdr:nvSpPr>
      <xdr:spPr bwMode="auto">
        <a:xfrm>
          <a:off x="373380" y="45582840"/>
          <a:ext cx="746760" cy="281940"/>
        </a:xfrm>
        <a:prstGeom prst="roundRect">
          <a:avLst/>
        </a:prstGeom>
        <a:solidFill>
          <a:schemeClr val="accent1"/>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62</xdr:row>
      <xdr:rowOff>861060</xdr:rowOff>
    </xdr:from>
    <xdr:to>
      <xdr:col>2</xdr:col>
      <xdr:colOff>931564</xdr:colOff>
      <xdr:row>62</xdr:row>
      <xdr:rowOff>1133602</xdr:rowOff>
    </xdr:to>
    <xdr:sp macro="" textlink="">
      <xdr:nvSpPr>
        <xdr:cNvPr id="45" name="Rounded Rectangle 44">
          <a:hlinkClick xmlns:r="http://schemas.openxmlformats.org/officeDocument/2006/relationships" r:id="rId26"/>
          <a:extLst>
            <a:ext uri="{FF2B5EF4-FFF2-40B4-BE49-F238E27FC236}">
              <a16:creationId xmlns:a16="http://schemas.microsoft.com/office/drawing/2014/main" id="{00000000-0008-0000-0900-00002D000000}"/>
            </a:ext>
          </a:extLst>
        </xdr:cNvPr>
        <xdr:cNvSpPr/>
      </xdr:nvSpPr>
      <xdr:spPr bwMode="auto">
        <a:xfrm>
          <a:off x="373380" y="46939200"/>
          <a:ext cx="746760" cy="281940"/>
        </a:xfrm>
        <a:prstGeom prst="roundRect">
          <a:avLst/>
        </a:prstGeom>
        <a:solidFill>
          <a:schemeClr val="accent1"/>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196215</xdr:colOff>
      <xdr:row>64</xdr:row>
      <xdr:rowOff>914400</xdr:rowOff>
    </xdr:from>
    <xdr:to>
      <xdr:col>2</xdr:col>
      <xdr:colOff>946804</xdr:colOff>
      <xdr:row>64</xdr:row>
      <xdr:rowOff>1196340</xdr:rowOff>
    </xdr:to>
    <xdr:sp macro="" textlink="">
      <xdr:nvSpPr>
        <xdr:cNvPr id="47" name="Rounded Rectangle 46">
          <a:hlinkClick xmlns:r="http://schemas.openxmlformats.org/officeDocument/2006/relationships" r:id="rId27"/>
          <a:extLst>
            <a:ext uri="{FF2B5EF4-FFF2-40B4-BE49-F238E27FC236}">
              <a16:creationId xmlns:a16="http://schemas.microsoft.com/office/drawing/2014/main" id="{00000000-0008-0000-0900-00002F000000}"/>
            </a:ext>
          </a:extLst>
        </xdr:cNvPr>
        <xdr:cNvSpPr/>
      </xdr:nvSpPr>
      <xdr:spPr bwMode="auto">
        <a:xfrm>
          <a:off x="381000" y="48303180"/>
          <a:ext cx="746760" cy="281940"/>
        </a:xfrm>
        <a:prstGeom prst="roundRect">
          <a:avLst/>
        </a:prstGeom>
        <a:solidFill>
          <a:schemeClr val="accent1"/>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66</xdr:row>
      <xdr:rowOff>1264920</xdr:rowOff>
    </xdr:from>
    <xdr:to>
      <xdr:col>2</xdr:col>
      <xdr:colOff>923968</xdr:colOff>
      <xdr:row>66</xdr:row>
      <xdr:rowOff>1548907</xdr:rowOff>
    </xdr:to>
    <xdr:sp macro="" textlink="">
      <xdr:nvSpPr>
        <xdr:cNvPr id="48" name="Rounded Rectangle 47">
          <a:hlinkClick xmlns:r="http://schemas.openxmlformats.org/officeDocument/2006/relationships" r:id="rId28"/>
          <a:extLst>
            <a:ext uri="{FF2B5EF4-FFF2-40B4-BE49-F238E27FC236}">
              <a16:creationId xmlns:a16="http://schemas.microsoft.com/office/drawing/2014/main" id="{00000000-0008-0000-0900-000030000000}"/>
            </a:ext>
          </a:extLst>
        </xdr:cNvPr>
        <xdr:cNvSpPr/>
      </xdr:nvSpPr>
      <xdr:spPr bwMode="auto">
        <a:xfrm>
          <a:off x="365760" y="49971960"/>
          <a:ext cx="746760" cy="281940"/>
        </a:xfrm>
        <a:prstGeom prst="roundRect">
          <a:avLst/>
        </a:prstGeom>
        <a:solidFill>
          <a:schemeClr val="accent1"/>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196215</xdr:colOff>
      <xdr:row>68</xdr:row>
      <xdr:rowOff>1183005</xdr:rowOff>
    </xdr:from>
    <xdr:to>
      <xdr:col>2</xdr:col>
      <xdr:colOff>946804</xdr:colOff>
      <xdr:row>68</xdr:row>
      <xdr:rowOff>1457526</xdr:rowOff>
    </xdr:to>
    <xdr:sp macro="" textlink="">
      <xdr:nvSpPr>
        <xdr:cNvPr id="49" name="Rounded Rectangle 48">
          <a:hlinkClick xmlns:r="http://schemas.openxmlformats.org/officeDocument/2006/relationships" r:id="rId29"/>
          <a:extLst>
            <a:ext uri="{FF2B5EF4-FFF2-40B4-BE49-F238E27FC236}">
              <a16:creationId xmlns:a16="http://schemas.microsoft.com/office/drawing/2014/main" id="{00000000-0008-0000-0900-000031000000}"/>
            </a:ext>
          </a:extLst>
        </xdr:cNvPr>
        <xdr:cNvSpPr/>
      </xdr:nvSpPr>
      <xdr:spPr bwMode="auto">
        <a:xfrm>
          <a:off x="381000" y="51854100"/>
          <a:ext cx="746760" cy="281940"/>
        </a:xfrm>
        <a:prstGeom prst="roundRect">
          <a:avLst/>
        </a:prstGeom>
        <a:solidFill>
          <a:schemeClr val="accent1"/>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213360</xdr:colOff>
      <xdr:row>70</xdr:row>
      <xdr:rowOff>365760</xdr:rowOff>
    </xdr:from>
    <xdr:to>
      <xdr:col>2</xdr:col>
      <xdr:colOff>954448</xdr:colOff>
      <xdr:row>70</xdr:row>
      <xdr:rowOff>655320</xdr:rowOff>
    </xdr:to>
    <xdr:sp macro="" textlink="">
      <xdr:nvSpPr>
        <xdr:cNvPr id="50" name="Rounded Rectangle 49">
          <a:hlinkClick xmlns:r="http://schemas.openxmlformats.org/officeDocument/2006/relationships" r:id="rId30"/>
          <a:extLst>
            <a:ext uri="{FF2B5EF4-FFF2-40B4-BE49-F238E27FC236}">
              <a16:creationId xmlns:a16="http://schemas.microsoft.com/office/drawing/2014/main" id="{00000000-0008-0000-0900-000032000000}"/>
            </a:ext>
          </a:extLst>
        </xdr:cNvPr>
        <xdr:cNvSpPr/>
      </xdr:nvSpPr>
      <xdr:spPr bwMode="auto">
        <a:xfrm>
          <a:off x="396240" y="52684680"/>
          <a:ext cx="746760" cy="281940"/>
        </a:xfrm>
        <a:prstGeom prst="roundRect">
          <a:avLst/>
        </a:prstGeom>
        <a:solidFill>
          <a:schemeClr val="accent1"/>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196215</xdr:colOff>
      <xdr:row>72</xdr:row>
      <xdr:rowOff>937260</xdr:rowOff>
    </xdr:from>
    <xdr:to>
      <xdr:col>2</xdr:col>
      <xdr:colOff>946804</xdr:colOff>
      <xdr:row>72</xdr:row>
      <xdr:rowOff>1209802</xdr:rowOff>
    </xdr:to>
    <xdr:sp macro="" textlink="">
      <xdr:nvSpPr>
        <xdr:cNvPr id="51" name="Rounded Rectangle 50">
          <a:hlinkClick xmlns:r="http://schemas.openxmlformats.org/officeDocument/2006/relationships" r:id="rId31"/>
          <a:extLst>
            <a:ext uri="{FF2B5EF4-FFF2-40B4-BE49-F238E27FC236}">
              <a16:creationId xmlns:a16="http://schemas.microsoft.com/office/drawing/2014/main" id="{00000000-0008-0000-0900-000033000000}"/>
            </a:ext>
          </a:extLst>
        </xdr:cNvPr>
        <xdr:cNvSpPr/>
      </xdr:nvSpPr>
      <xdr:spPr bwMode="auto">
        <a:xfrm>
          <a:off x="381000" y="54940200"/>
          <a:ext cx="746760" cy="281940"/>
        </a:xfrm>
        <a:prstGeom prst="roundRect">
          <a:avLst/>
        </a:prstGeom>
        <a:solidFill>
          <a:schemeClr val="accent1"/>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196215</xdr:colOff>
      <xdr:row>74</xdr:row>
      <xdr:rowOff>510540</xdr:rowOff>
    </xdr:from>
    <xdr:to>
      <xdr:col>2</xdr:col>
      <xdr:colOff>946804</xdr:colOff>
      <xdr:row>74</xdr:row>
      <xdr:rowOff>810085</xdr:rowOff>
    </xdr:to>
    <xdr:sp macro="" textlink="">
      <xdr:nvSpPr>
        <xdr:cNvPr id="52" name="Rounded Rectangle 51">
          <a:hlinkClick xmlns:r="http://schemas.openxmlformats.org/officeDocument/2006/relationships" r:id="rId32"/>
          <a:extLst>
            <a:ext uri="{FF2B5EF4-FFF2-40B4-BE49-F238E27FC236}">
              <a16:creationId xmlns:a16="http://schemas.microsoft.com/office/drawing/2014/main" id="{00000000-0008-0000-0900-000034000000}"/>
            </a:ext>
          </a:extLst>
        </xdr:cNvPr>
        <xdr:cNvSpPr/>
      </xdr:nvSpPr>
      <xdr:spPr bwMode="auto">
        <a:xfrm>
          <a:off x="381000" y="55123080"/>
          <a:ext cx="746760" cy="281940"/>
        </a:xfrm>
        <a:prstGeom prst="roundRect">
          <a:avLst/>
        </a:prstGeom>
        <a:solidFill>
          <a:schemeClr val="accent1"/>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14</xdr:col>
      <xdr:colOff>493395</xdr:colOff>
      <xdr:row>1</xdr:row>
      <xdr:rowOff>205740</xdr:rowOff>
    </xdr:from>
    <xdr:to>
      <xdr:col>19</xdr:col>
      <xdr:colOff>1874</xdr:colOff>
      <xdr:row>2</xdr:row>
      <xdr:rowOff>15071</xdr:rowOff>
    </xdr:to>
    <xdr:sp macro="" textlink="">
      <xdr:nvSpPr>
        <xdr:cNvPr id="5" name="Text Box 474">
          <a:extLst>
            <a:ext uri="{FF2B5EF4-FFF2-40B4-BE49-F238E27FC236}">
              <a16:creationId xmlns:a16="http://schemas.microsoft.com/office/drawing/2014/main" id="{00000000-0008-0000-0A00-000005000000}"/>
            </a:ext>
          </a:extLst>
        </xdr:cNvPr>
        <xdr:cNvSpPr txBox="1">
          <a:spLocks noChangeArrowheads="1"/>
        </xdr:cNvSpPr>
      </xdr:nvSpPr>
      <xdr:spPr bwMode="auto">
        <a:xfrm>
          <a:off x="8214360" y="304800"/>
          <a:ext cx="1874520" cy="350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2014,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17</xdr:col>
      <xdr:colOff>45720</xdr:colOff>
      <xdr:row>1</xdr:row>
      <xdr:rowOff>30480</xdr:rowOff>
    </xdr:from>
    <xdr:to>
      <xdr:col>18</xdr:col>
      <xdr:colOff>53340</xdr:colOff>
      <xdr:row>1</xdr:row>
      <xdr:rowOff>238125</xdr:rowOff>
    </xdr:to>
    <xdr:sp macro="" textlink="">
      <xdr:nvSpPr>
        <xdr:cNvPr id="6" name="Text Box 706">
          <a:extLst>
            <a:ext uri="{FF2B5EF4-FFF2-40B4-BE49-F238E27FC236}">
              <a16:creationId xmlns:a16="http://schemas.microsoft.com/office/drawing/2014/main" id="{00000000-0008-0000-0A00-000006000000}"/>
            </a:ext>
          </a:extLst>
        </xdr:cNvPr>
        <xdr:cNvSpPr txBox="1">
          <a:spLocks noChangeArrowheads="1"/>
        </xdr:cNvSpPr>
      </xdr:nvSpPr>
      <xdr:spPr bwMode="auto">
        <a:xfrm>
          <a:off x="9441180" y="129540"/>
          <a:ext cx="571500" cy="207645"/>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US" sz="900" b="0" i="0" u="none" strike="noStrike" baseline="0">
              <a:solidFill>
                <a:srgbClr val="FFFFFF"/>
              </a:solidFill>
              <a:latin typeface="Arial"/>
              <a:cs typeface="Arial"/>
            </a:rPr>
            <a:t> WAS v5.0</a:t>
          </a:r>
          <a:endParaRPr lang="en-US" sz="1050"/>
        </a:p>
      </xdr:txBody>
    </xdr:sp>
    <xdr:clientData/>
  </xdr:twoCellAnchor>
  <xdr:twoCellAnchor editAs="oneCell">
    <xdr:from>
      <xdr:col>1</xdr:col>
      <xdr:colOff>68580</xdr:colOff>
      <xdr:row>1</xdr:row>
      <xdr:rowOff>68580</xdr:rowOff>
    </xdr:from>
    <xdr:to>
      <xdr:col>2</xdr:col>
      <xdr:colOff>335280</xdr:colOff>
      <xdr:row>1</xdr:row>
      <xdr:rowOff>426720</xdr:rowOff>
    </xdr:to>
    <xdr:pic>
      <xdr:nvPicPr>
        <xdr:cNvPr id="4590272" name="Picture 71">
          <a:hlinkClick xmlns:r="http://schemas.openxmlformats.org/officeDocument/2006/relationships" r:id="rId1"/>
          <a:extLst>
            <a:ext uri="{FF2B5EF4-FFF2-40B4-BE49-F238E27FC236}">
              <a16:creationId xmlns:a16="http://schemas.microsoft.com/office/drawing/2014/main" id="{00000000-0008-0000-0A00-0000C00A46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67640" y="167640"/>
          <a:ext cx="358140" cy="358140"/>
        </a:xfrm>
        <a:prstGeom prst="rect">
          <a:avLst/>
        </a:prstGeom>
        <a:solidFill>
          <a:srgbClr val="1F497D">
            <a:alpha val="0"/>
          </a:srgbClr>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152400</xdr:colOff>
      <xdr:row>2</xdr:row>
      <xdr:rowOff>30480</xdr:rowOff>
    </xdr:from>
    <xdr:to>
      <xdr:col>15</xdr:col>
      <xdr:colOff>563880</xdr:colOff>
      <xdr:row>77</xdr:row>
      <xdr:rowOff>152400</xdr:rowOff>
    </xdr:to>
    <xdr:pic>
      <xdr:nvPicPr>
        <xdr:cNvPr id="6003871" name="Picture 19">
          <a:extLst>
            <a:ext uri="{FF2B5EF4-FFF2-40B4-BE49-F238E27FC236}">
              <a16:creationId xmlns:a16="http://schemas.microsoft.com/office/drawing/2014/main" id="{00000000-0008-0000-0B00-00009F9C5B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52400" y="1082040"/>
          <a:ext cx="10355580" cy="13266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91440</xdr:colOff>
      <xdr:row>93</xdr:row>
      <xdr:rowOff>114300</xdr:rowOff>
    </xdr:from>
    <xdr:to>
      <xdr:col>15</xdr:col>
      <xdr:colOff>617220</xdr:colOff>
      <xdr:row>134</xdr:row>
      <xdr:rowOff>45720</xdr:rowOff>
    </xdr:to>
    <xdr:pic>
      <xdr:nvPicPr>
        <xdr:cNvPr id="6003872" name="Picture 22">
          <a:extLst>
            <a:ext uri="{FF2B5EF4-FFF2-40B4-BE49-F238E27FC236}">
              <a16:creationId xmlns:a16="http://schemas.microsoft.com/office/drawing/2014/main" id="{00000000-0008-0000-0B00-0000A09C5B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1440" y="17114520"/>
          <a:ext cx="10469880" cy="71170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12</xdr:col>
      <xdr:colOff>462915</xdr:colOff>
      <xdr:row>0</xdr:row>
      <xdr:rowOff>205740</xdr:rowOff>
    </xdr:from>
    <xdr:to>
      <xdr:col>15</xdr:col>
      <xdr:colOff>569595</xdr:colOff>
      <xdr:row>1</xdr:row>
      <xdr:rowOff>22860</xdr:rowOff>
    </xdr:to>
    <xdr:sp macro="" textlink="">
      <xdr:nvSpPr>
        <xdr:cNvPr id="24" name="Text Box 474">
          <a:extLst>
            <a:ext uri="{FF2B5EF4-FFF2-40B4-BE49-F238E27FC236}">
              <a16:creationId xmlns:a16="http://schemas.microsoft.com/office/drawing/2014/main" id="{00000000-0008-0000-0B00-000018000000}"/>
            </a:ext>
          </a:extLst>
        </xdr:cNvPr>
        <xdr:cNvSpPr txBox="1">
          <a:spLocks noChangeArrowheads="1"/>
        </xdr:cNvSpPr>
      </xdr:nvSpPr>
      <xdr:spPr bwMode="auto">
        <a:xfrm>
          <a:off x="8420100" y="205740"/>
          <a:ext cx="2095500" cy="5181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2014,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14</xdr:col>
      <xdr:colOff>567690</xdr:colOff>
      <xdr:row>0</xdr:row>
      <xdr:rowOff>30480</xdr:rowOff>
    </xdr:from>
    <xdr:to>
      <xdr:col>15</xdr:col>
      <xdr:colOff>582930</xdr:colOff>
      <xdr:row>0</xdr:row>
      <xdr:rowOff>230505</xdr:rowOff>
    </xdr:to>
    <xdr:sp macro="" textlink="">
      <xdr:nvSpPr>
        <xdr:cNvPr id="25" name="Text Box 706">
          <a:extLst>
            <a:ext uri="{FF2B5EF4-FFF2-40B4-BE49-F238E27FC236}">
              <a16:creationId xmlns:a16="http://schemas.microsoft.com/office/drawing/2014/main" id="{00000000-0008-0000-0B00-000019000000}"/>
            </a:ext>
          </a:extLst>
        </xdr:cNvPr>
        <xdr:cNvSpPr txBox="1">
          <a:spLocks noChangeArrowheads="1"/>
        </xdr:cNvSpPr>
      </xdr:nvSpPr>
      <xdr:spPr bwMode="auto">
        <a:xfrm>
          <a:off x="9860280" y="30480"/>
          <a:ext cx="670560" cy="200025"/>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US" sz="900" b="0" i="0" u="none" strike="noStrike" baseline="0">
              <a:solidFill>
                <a:srgbClr val="FFFFFF"/>
              </a:solidFill>
              <a:latin typeface="Arial"/>
              <a:cs typeface="Arial"/>
            </a:rPr>
            <a:t> WAS v5.0</a:t>
          </a:r>
          <a:endParaRPr lang="en-US" sz="1050"/>
        </a:p>
      </xdr:txBody>
    </xdr:sp>
    <xdr:clientData/>
  </xdr:twoCellAnchor>
  <xdr:twoCellAnchor editAs="oneCell">
    <xdr:from>
      <xdr:col>0</xdr:col>
      <xdr:colOff>76200</xdr:colOff>
      <xdr:row>0</xdr:row>
      <xdr:rowOff>68580</xdr:rowOff>
    </xdr:from>
    <xdr:to>
      <xdr:col>0</xdr:col>
      <xdr:colOff>632460</xdr:colOff>
      <xdr:row>0</xdr:row>
      <xdr:rowOff>556260</xdr:rowOff>
    </xdr:to>
    <xdr:pic>
      <xdr:nvPicPr>
        <xdr:cNvPr id="6003875" name="Picture 71">
          <a:hlinkClick xmlns:r="http://schemas.openxmlformats.org/officeDocument/2006/relationships" r:id="rId3"/>
          <a:extLst>
            <a:ext uri="{FF2B5EF4-FFF2-40B4-BE49-F238E27FC236}">
              <a16:creationId xmlns:a16="http://schemas.microsoft.com/office/drawing/2014/main" id="{00000000-0008-0000-0B00-0000A39C5B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76200" y="68580"/>
          <a:ext cx="556260" cy="487680"/>
        </a:xfrm>
        <a:prstGeom prst="rect">
          <a:avLst/>
        </a:prstGeom>
        <a:solidFill>
          <a:srgbClr val="1F497D">
            <a:alpha val="0"/>
          </a:srgbClr>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455296</xdr:colOff>
      <xdr:row>3</xdr:row>
      <xdr:rowOff>34535</xdr:rowOff>
    </xdr:from>
    <xdr:to>
      <xdr:col>5</xdr:col>
      <xdr:colOff>80074</xdr:colOff>
      <xdr:row>5</xdr:row>
      <xdr:rowOff>99061</xdr:rowOff>
    </xdr:to>
    <xdr:sp macro="" textlink="">
      <xdr:nvSpPr>
        <xdr:cNvPr id="2" name="TextBox 1">
          <a:extLst>
            <a:ext uri="{FF2B5EF4-FFF2-40B4-BE49-F238E27FC236}">
              <a16:creationId xmlns:a16="http://schemas.microsoft.com/office/drawing/2014/main" id="{00000000-0008-0000-0B00-000002000000}"/>
            </a:ext>
          </a:extLst>
        </xdr:cNvPr>
        <xdr:cNvSpPr txBox="1"/>
      </xdr:nvSpPr>
      <xdr:spPr>
        <a:xfrm>
          <a:off x="1120141" y="1169915"/>
          <a:ext cx="2274676" cy="415046"/>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000" u="sng">
              <a:latin typeface="+mn-lt"/>
            </a:rPr>
            <a:t>Example Audit 1a:</a:t>
          </a:r>
        </a:p>
      </xdr:txBody>
    </xdr:sp>
    <xdr:clientData/>
  </xdr:twoCellAnchor>
  <xdr:twoCellAnchor editAs="oneCell">
    <xdr:from>
      <xdr:col>0</xdr:col>
      <xdr:colOff>99060</xdr:colOff>
      <xdr:row>164</xdr:row>
      <xdr:rowOff>0</xdr:rowOff>
    </xdr:from>
    <xdr:to>
      <xdr:col>15</xdr:col>
      <xdr:colOff>601980</xdr:colOff>
      <xdr:row>238</xdr:row>
      <xdr:rowOff>30480</xdr:rowOff>
    </xdr:to>
    <xdr:pic>
      <xdr:nvPicPr>
        <xdr:cNvPr id="6003877" name="Picture 8">
          <a:extLst>
            <a:ext uri="{FF2B5EF4-FFF2-40B4-BE49-F238E27FC236}">
              <a16:creationId xmlns:a16="http://schemas.microsoft.com/office/drawing/2014/main" id="{00000000-0008-0000-0B00-0000A59C5B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99060" y="29443680"/>
          <a:ext cx="10447020" cy="129997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247</xdr:row>
      <xdr:rowOff>38100</xdr:rowOff>
    </xdr:from>
    <xdr:to>
      <xdr:col>15</xdr:col>
      <xdr:colOff>655320</xdr:colOff>
      <xdr:row>285</xdr:row>
      <xdr:rowOff>129540</xdr:rowOff>
    </xdr:to>
    <xdr:pic>
      <xdr:nvPicPr>
        <xdr:cNvPr id="6003878" name="Picture 10">
          <a:extLst>
            <a:ext uri="{FF2B5EF4-FFF2-40B4-BE49-F238E27FC236}">
              <a16:creationId xmlns:a16="http://schemas.microsoft.com/office/drawing/2014/main" id="{00000000-0008-0000-0B00-0000A69C5B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6200" y="44028360"/>
          <a:ext cx="10523220" cy="6751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600075</xdr:colOff>
      <xdr:row>1</xdr:row>
      <xdr:rowOff>60960</xdr:rowOff>
    </xdr:from>
    <xdr:to>
      <xdr:col>3</xdr:col>
      <xdr:colOff>638203</xdr:colOff>
      <xdr:row>1</xdr:row>
      <xdr:rowOff>396240</xdr:rowOff>
    </xdr:to>
    <xdr:sp macro="" textlink="">
      <xdr:nvSpPr>
        <xdr:cNvPr id="13" name="Rounded Rectangle 12">
          <a:hlinkClick xmlns:r="http://schemas.openxmlformats.org/officeDocument/2006/relationships" r:id="rId7"/>
          <a:extLst>
            <a:ext uri="{FF2B5EF4-FFF2-40B4-BE49-F238E27FC236}">
              <a16:creationId xmlns:a16="http://schemas.microsoft.com/office/drawing/2014/main" id="{00000000-0008-0000-0B00-00000D000000}"/>
            </a:ext>
          </a:extLst>
        </xdr:cNvPr>
        <xdr:cNvSpPr/>
      </xdr:nvSpPr>
      <xdr:spPr>
        <a:xfrm>
          <a:off x="594360" y="762000"/>
          <a:ext cx="2034540" cy="335280"/>
        </a:xfrm>
        <a:prstGeom prst="roundRect">
          <a:avLst/>
        </a:prstGeom>
        <a:ln w="12700"/>
        <a:effectLst>
          <a:outerShdw blurRad="63500" dist="38100" dir="13740000" rotWithShape="0">
            <a:prstClr val="black">
              <a:alpha val="40000"/>
            </a:prstClr>
          </a:outerShdw>
        </a:effectLst>
      </xdr:spPr>
      <xdr:style>
        <a:lnRef idx="2">
          <a:schemeClr val="accent1"/>
        </a:lnRef>
        <a:fillRef idx="1">
          <a:schemeClr val="lt1"/>
        </a:fillRef>
        <a:effectRef idx="0">
          <a:schemeClr val="accent1"/>
        </a:effectRef>
        <a:fontRef idx="minor">
          <a:schemeClr val="dk1"/>
        </a:fontRef>
      </xdr:style>
      <xdr:txBody>
        <a:bodyPr vertOverflow="clip" horzOverflow="clip" tIns="9144" bIns="9144" rtlCol="0" anchor="t"/>
        <a:lstStyle/>
        <a:p>
          <a:pPr algn="ctr">
            <a:lnSpc>
              <a:spcPts val="1100"/>
            </a:lnSpc>
          </a:pPr>
          <a:r>
            <a:rPr lang="en-US" sz="1000" b="1"/>
            <a:t>Example 1a</a:t>
          </a:r>
          <a:r>
            <a:rPr lang="en-US" sz="1000"/>
            <a:t>: Million</a:t>
          </a:r>
          <a:r>
            <a:rPr lang="en-US" sz="1000" baseline="0"/>
            <a:t> Gallons: </a:t>
          </a:r>
        </a:p>
        <a:p>
          <a:pPr algn="ctr">
            <a:lnSpc>
              <a:spcPts val="1100"/>
            </a:lnSpc>
          </a:pPr>
          <a:r>
            <a:rPr lang="en-US" sz="1000" baseline="0"/>
            <a:t>Reporting Worksheet</a:t>
          </a:r>
          <a:endParaRPr lang="en-US" sz="1000"/>
        </a:p>
      </xdr:txBody>
    </xdr:sp>
    <xdr:clientData/>
  </xdr:twoCellAnchor>
  <xdr:twoCellAnchor>
    <xdr:from>
      <xdr:col>4</xdr:col>
      <xdr:colOff>196215</xdr:colOff>
      <xdr:row>1</xdr:row>
      <xdr:rowOff>68580</xdr:rowOff>
    </xdr:from>
    <xdr:to>
      <xdr:col>7</xdr:col>
      <xdr:colOff>30492</xdr:colOff>
      <xdr:row>1</xdr:row>
      <xdr:rowOff>411480</xdr:rowOff>
    </xdr:to>
    <xdr:sp macro="" textlink="">
      <xdr:nvSpPr>
        <xdr:cNvPr id="16" name="Rounded Rectangle 15">
          <a:hlinkClick xmlns:r="http://schemas.openxmlformats.org/officeDocument/2006/relationships" r:id="rId8"/>
          <a:extLst>
            <a:ext uri="{FF2B5EF4-FFF2-40B4-BE49-F238E27FC236}">
              <a16:creationId xmlns:a16="http://schemas.microsoft.com/office/drawing/2014/main" id="{00000000-0008-0000-0B00-000010000000}"/>
            </a:ext>
          </a:extLst>
        </xdr:cNvPr>
        <xdr:cNvSpPr/>
      </xdr:nvSpPr>
      <xdr:spPr>
        <a:xfrm>
          <a:off x="2849880" y="769620"/>
          <a:ext cx="1821180" cy="342900"/>
        </a:xfrm>
        <a:prstGeom prst="roundRect">
          <a:avLst/>
        </a:prstGeom>
        <a:ln w="12700"/>
        <a:effectLst>
          <a:outerShdw blurRad="63500" dist="38100" dir="13740000" rotWithShape="0">
            <a:prstClr val="black">
              <a:alpha val="40000"/>
            </a:prstClr>
          </a:outerShdw>
        </a:effectLst>
      </xdr:spPr>
      <xdr:style>
        <a:lnRef idx="2">
          <a:schemeClr val="accent1"/>
        </a:lnRef>
        <a:fillRef idx="1">
          <a:schemeClr val="lt1"/>
        </a:fillRef>
        <a:effectRef idx="0">
          <a:schemeClr val="accent1"/>
        </a:effectRef>
        <a:fontRef idx="minor">
          <a:schemeClr val="dk1"/>
        </a:fontRef>
      </xdr:style>
      <xdr:txBody>
        <a:bodyPr vertOverflow="clip" horzOverflow="clip" tIns="9144" bIns="9144" rtlCol="0" anchor="t"/>
        <a:lstStyle/>
        <a:p>
          <a:pPr algn="ctr">
            <a:lnSpc>
              <a:spcPts val="1100"/>
            </a:lnSpc>
          </a:pPr>
          <a:r>
            <a:rPr lang="en-US" sz="1000" b="1"/>
            <a:t>Example 1b</a:t>
          </a:r>
          <a:r>
            <a:rPr lang="en-US" sz="1000"/>
            <a:t>: Million</a:t>
          </a:r>
          <a:r>
            <a:rPr lang="en-US" sz="1000" baseline="0"/>
            <a:t> Gallons:</a:t>
          </a:r>
        </a:p>
        <a:p>
          <a:pPr algn="ctr">
            <a:lnSpc>
              <a:spcPts val="1100"/>
            </a:lnSpc>
          </a:pPr>
          <a:r>
            <a:rPr lang="en-US" sz="1000" baseline="0"/>
            <a:t>Performance Indicators</a:t>
          </a:r>
          <a:endParaRPr lang="en-US" sz="1000"/>
        </a:p>
      </xdr:txBody>
    </xdr:sp>
    <xdr:clientData/>
  </xdr:twoCellAnchor>
  <xdr:twoCellAnchor>
    <xdr:from>
      <xdr:col>9</xdr:col>
      <xdr:colOff>30480</xdr:colOff>
      <xdr:row>1</xdr:row>
      <xdr:rowOff>53340</xdr:rowOff>
    </xdr:from>
    <xdr:to>
      <xdr:col>12</xdr:col>
      <xdr:colOff>89555</xdr:colOff>
      <xdr:row>1</xdr:row>
      <xdr:rowOff>411480</xdr:rowOff>
    </xdr:to>
    <xdr:sp macro="" textlink="">
      <xdr:nvSpPr>
        <xdr:cNvPr id="17" name="Rounded Rectangle 16">
          <a:hlinkClick xmlns:r="http://schemas.openxmlformats.org/officeDocument/2006/relationships" r:id="rId9"/>
          <a:extLst>
            <a:ext uri="{FF2B5EF4-FFF2-40B4-BE49-F238E27FC236}">
              <a16:creationId xmlns:a16="http://schemas.microsoft.com/office/drawing/2014/main" id="{00000000-0008-0000-0B00-000011000000}"/>
            </a:ext>
          </a:extLst>
        </xdr:cNvPr>
        <xdr:cNvSpPr/>
      </xdr:nvSpPr>
      <xdr:spPr>
        <a:xfrm>
          <a:off x="5996940" y="754380"/>
          <a:ext cx="2049780" cy="358140"/>
        </a:xfrm>
        <a:prstGeom prst="roundRect">
          <a:avLst/>
        </a:prstGeom>
        <a:ln w="12700"/>
        <a:effectLst>
          <a:outerShdw blurRad="63500" dist="38100" dir="13740000" rotWithShape="0">
            <a:prstClr val="black">
              <a:alpha val="40000"/>
            </a:prstClr>
          </a:outerShdw>
        </a:effectLst>
      </xdr:spPr>
      <xdr:style>
        <a:lnRef idx="2">
          <a:schemeClr val="accent1"/>
        </a:lnRef>
        <a:fillRef idx="1">
          <a:schemeClr val="lt1"/>
        </a:fillRef>
        <a:effectRef idx="0">
          <a:schemeClr val="accent1"/>
        </a:effectRef>
        <a:fontRef idx="minor">
          <a:schemeClr val="dk1"/>
        </a:fontRef>
      </xdr:style>
      <xdr:txBody>
        <a:bodyPr vertOverflow="clip" horzOverflow="clip" tIns="9144" bIns="9144" rtlCol="0" anchor="t"/>
        <a:lstStyle/>
        <a:p>
          <a:pPr algn="ctr">
            <a:lnSpc>
              <a:spcPts val="1100"/>
            </a:lnSpc>
          </a:pPr>
          <a:r>
            <a:rPr lang="en-US" sz="1000" b="1"/>
            <a:t>Example 2a</a:t>
          </a:r>
          <a:r>
            <a:rPr lang="en-US" sz="1000"/>
            <a:t>: Megalitres:</a:t>
          </a:r>
        </a:p>
        <a:p>
          <a:pPr algn="ctr">
            <a:lnSpc>
              <a:spcPts val="1100"/>
            </a:lnSpc>
          </a:pPr>
          <a:r>
            <a:rPr lang="en-US" sz="1000" baseline="0"/>
            <a:t> Reporting Worksheet</a:t>
          </a:r>
          <a:endParaRPr lang="en-US" sz="1000"/>
        </a:p>
      </xdr:txBody>
    </xdr:sp>
    <xdr:clientData/>
  </xdr:twoCellAnchor>
  <xdr:twoCellAnchor>
    <xdr:from>
      <xdr:col>12</xdr:col>
      <xdr:colOff>251460</xdr:colOff>
      <xdr:row>1</xdr:row>
      <xdr:rowOff>60960</xdr:rowOff>
    </xdr:from>
    <xdr:to>
      <xdr:col>15</xdr:col>
      <xdr:colOff>22860</xdr:colOff>
      <xdr:row>1</xdr:row>
      <xdr:rowOff>419100</xdr:rowOff>
    </xdr:to>
    <xdr:sp macro="" textlink="">
      <xdr:nvSpPr>
        <xdr:cNvPr id="18" name="Rounded Rectangle 17">
          <a:hlinkClick xmlns:r="http://schemas.openxmlformats.org/officeDocument/2006/relationships" r:id="rId10"/>
          <a:extLst>
            <a:ext uri="{FF2B5EF4-FFF2-40B4-BE49-F238E27FC236}">
              <a16:creationId xmlns:a16="http://schemas.microsoft.com/office/drawing/2014/main" id="{00000000-0008-0000-0B00-000012000000}"/>
            </a:ext>
          </a:extLst>
        </xdr:cNvPr>
        <xdr:cNvSpPr/>
      </xdr:nvSpPr>
      <xdr:spPr>
        <a:xfrm>
          <a:off x="8206740" y="762000"/>
          <a:ext cx="1760220" cy="358140"/>
        </a:xfrm>
        <a:prstGeom prst="roundRect">
          <a:avLst/>
        </a:prstGeom>
        <a:ln w="12700"/>
        <a:effectLst>
          <a:outerShdw blurRad="63500" dist="38100" dir="13740000" rotWithShape="0">
            <a:prstClr val="black">
              <a:alpha val="40000"/>
            </a:prstClr>
          </a:outerShdw>
        </a:effectLst>
      </xdr:spPr>
      <xdr:style>
        <a:lnRef idx="2">
          <a:schemeClr val="accent1"/>
        </a:lnRef>
        <a:fillRef idx="1">
          <a:schemeClr val="lt1"/>
        </a:fillRef>
        <a:effectRef idx="0">
          <a:schemeClr val="accent1"/>
        </a:effectRef>
        <a:fontRef idx="minor">
          <a:schemeClr val="dk1"/>
        </a:fontRef>
      </xdr:style>
      <xdr:txBody>
        <a:bodyPr vertOverflow="clip" horzOverflow="clip" tIns="9144" bIns="9144" rtlCol="0" anchor="t"/>
        <a:lstStyle/>
        <a:p>
          <a:pPr algn="ctr">
            <a:lnSpc>
              <a:spcPts val="1100"/>
            </a:lnSpc>
          </a:pPr>
          <a:r>
            <a:rPr lang="en-US" sz="1000" b="1"/>
            <a:t>Example 2b</a:t>
          </a:r>
          <a:r>
            <a:rPr lang="en-US" sz="1000"/>
            <a:t>: Megalitres:</a:t>
          </a:r>
        </a:p>
        <a:p>
          <a:pPr algn="ctr">
            <a:lnSpc>
              <a:spcPts val="1100"/>
            </a:lnSpc>
          </a:pPr>
          <a:r>
            <a:rPr lang="en-US" sz="1000" baseline="0"/>
            <a:t>Reporting Worksheet</a:t>
          </a:r>
          <a:endParaRPr lang="en-US" sz="1000"/>
        </a:p>
      </xdr:txBody>
    </xdr:sp>
    <xdr:clientData/>
  </xdr:twoCellAnchor>
  <xdr:twoCellAnchor>
    <xdr:from>
      <xdr:col>1</xdr:col>
      <xdr:colOff>213360</xdr:colOff>
      <xdr:row>94</xdr:row>
      <xdr:rowOff>89224</xdr:rowOff>
    </xdr:from>
    <xdr:to>
      <xdr:col>4</xdr:col>
      <xdr:colOff>497358</xdr:colOff>
      <xdr:row>96</xdr:row>
      <xdr:rowOff>155728</xdr:rowOff>
    </xdr:to>
    <xdr:sp macro="" textlink="">
      <xdr:nvSpPr>
        <xdr:cNvPr id="19" name="TextBox 18">
          <a:extLst>
            <a:ext uri="{FF2B5EF4-FFF2-40B4-BE49-F238E27FC236}">
              <a16:creationId xmlns:a16="http://schemas.microsoft.com/office/drawing/2014/main" id="{00000000-0008-0000-0B00-000013000000}"/>
            </a:ext>
          </a:extLst>
        </xdr:cNvPr>
        <xdr:cNvSpPr txBox="1"/>
      </xdr:nvSpPr>
      <xdr:spPr>
        <a:xfrm>
          <a:off x="876300" y="17358049"/>
          <a:ext cx="2274676" cy="415046"/>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000" u="sng">
              <a:latin typeface="+mn-lt"/>
            </a:rPr>
            <a:t>Example Audit 1b:</a:t>
          </a:r>
        </a:p>
      </xdr:txBody>
    </xdr:sp>
    <xdr:clientData/>
  </xdr:twoCellAnchor>
  <xdr:twoCellAnchor>
    <xdr:from>
      <xdr:col>1</xdr:col>
      <xdr:colOff>409577</xdr:colOff>
      <xdr:row>164</xdr:row>
      <xdr:rowOff>129540</xdr:rowOff>
    </xdr:from>
    <xdr:to>
      <xdr:col>5</xdr:col>
      <xdr:colOff>34380</xdr:colOff>
      <xdr:row>167</xdr:row>
      <xdr:rowOff>11120</xdr:rowOff>
    </xdr:to>
    <xdr:sp macro="" textlink="">
      <xdr:nvSpPr>
        <xdr:cNvPr id="20" name="TextBox 19">
          <a:extLst>
            <a:ext uri="{FF2B5EF4-FFF2-40B4-BE49-F238E27FC236}">
              <a16:creationId xmlns:a16="http://schemas.microsoft.com/office/drawing/2014/main" id="{00000000-0008-0000-0B00-000014000000}"/>
            </a:ext>
          </a:extLst>
        </xdr:cNvPr>
        <xdr:cNvSpPr txBox="1"/>
      </xdr:nvSpPr>
      <xdr:spPr>
        <a:xfrm>
          <a:off x="1074422" y="29657040"/>
          <a:ext cx="2274676" cy="415046"/>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000" u="sng">
              <a:latin typeface="+mn-lt"/>
            </a:rPr>
            <a:t>Example Audit 2a:</a:t>
          </a:r>
        </a:p>
      </xdr:txBody>
    </xdr:sp>
    <xdr:clientData/>
  </xdr:twoCellAnchor>
  <xdr:twoCellAnchor>
    <xdr:from>
      <xdr:col>1</xdr:col>
      <xdr:colOff>213360</xdr:colOff>
      <xdr:row>247</xdr:row>
      <xdr:rowOff>150495</xdr:rowOff>
    </xdr:from>
    <xdr:to>
      <xdr:col>4</xdr:col>
      <xdr:colOff>497358</xdr:colOff>
      <xdr:row>250</xdr:row>
      <xdr:rowOff>49371</xdr:rowOff>
    </xdr:to>
    <xdr:sp macro="" textlink="">
      <xdr:nvSpPr>
        <xdr:cNvPr id="21" name="TextBox 20">
          <a:extLst>
            <a:ext uri="{FF2B5EF4-FFF2-40B4-BE49-F238E27FC236}">
              <a16:creationId xmlns:a16="http://schemas.microsoft.com/office/drawing/2014/main" id="{00000000-0008-0000-0B00-000015000000}"/>
            </a:ext>
          </a:extLst>
        </xdr:cNvPr>
        <xdr:cNvSpPr txBox="1"/>
      </xdr:nvSpPr>
      <xdr:spPr>
        <a:xfrm>
          <a:off x="876300" y="44241720"/>
          <a:ext cx="2274676" cy="415046"/>
        </a:xfrm>
        <a:prstGeom prst="rect">
          <a:avLst/>
        </a:prstGeom>
        <a:no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2000" u="sng">
              <a:latin typeface="+mn-lt"/>
            </a:rPr>
            <a:t>Example Audit 2b:</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14</xdr:col>
      <xdr:colOff>499110</xdr:colOff>
      <xdr:row>1</xdr:row>
      <xdr:rowOff>205740</xdr:rowOff>
    </xdr:from>
    <xdr:to>
      <xdr:col>18</xdr:col>
      <xdr:colOff>139061</xdr:colOff>
      <xdr:row>2</xdr:row>
      <xdr:rowOff>22860</xdr:rowOff>
    </xdr:to>
    <xdr:sp macro="" textlink="">
      <xdr:nvSpPr>
        <xdr:cNvPr id="5" name="Text Box 474">
          <a:extLst>
            <a:ext uri="{FF2B5EF4-FFF2-40B4-BE49-F238E27FC236}">
              <a16:creationId xmlns:a16="http://schemas.microsoft.com/office/drawing/2014/main" id="{00000000-0008-0000-0C00-000005000000}"/>
            </a:ext>
          </a:extLst>
        </xdr:cNvPr>
        <xdr:cNvSpPr txBox="1">
          <a:spLocks noChangeArrowheads="1"/>
        </xdr:cNvSpPr>
      </xdr:nvSpPr>
      <xdr:spPr bwMode="auto">
        <a:xfrm>
          <a:off x="8061960" y="304800"/>
          <a:ext cx="1927860" cy="350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2014,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17</xdr:col>
      <xdr:colOff>99060</xdr:colOff>
      <xdr:row>1</xdr:row>
      <xdr:rowOff>30480</xdr:rowOff>
    </xdr:from>
    <xdr:to>
      <xdr:col>18</xdr:col>
      <xdr:colOff>82044</xdr:colOff>
      <xdr:row>1</xdr:row>
      <xdr:rowOff>238125</xdr:rowOff>
    </xdr:to>
    <xdr:sp macro="" textlink="">
      <xdr:nvSpPr>
        <xdr:cNvPr id="6" name="Text Box 706">
          <a:extLst>
            <a:ext uri="{FF2B5EF4-FFF2-40B4-BE49-F238E27FC236}">
              <a16:creationId xmlns:a16="http://schemas.microsoft.com/office/drawing/2014/main" id="{00000000-0008-0000-0C00-000006000000}"/>
            </a:ext>
          </a:extLst>
        </xdr:cNvPr>
        <xdr:cNvSpPr txBox="1">
          <a:spLocks noChangeArrowheads="1"/>
        </xdr:cNvSpPr>
      </xdr:nvSpPr>
      <xdr:spPr bwMode="auto">
        <a:xfrm>
          <a:off x="9304020" y="129540"/>
          <a:ext cx="571500" cy="207645"/>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US" sz="900" b="0" i="0" u="none" strike="noStrike" baseline="0">
              <a:solidFill>
                <a:srgbClr val="FFFFFF"/>
              </a:solidFill>
              <a:latin typeface="Arial"/>
              <a:cs typeface="Arial"/>
            </a:rPr>
            <a:t> WAS v5.0</a:t>
          </a:r>
          <a:endParaRPr lang="en-US" sz="1050"/>
        </a:p>
      </xdr:txBody>
    </xdr:sp>
    <xdr:clientData/>
  </xdr:twoCellAnchor>
  <xdr:twoCellAnchor editAs="oneCell">
    <xdr:from>
      <xdr:col>1</xdr:col>
      <xdr:colOff>76200</xdr:colOff>
      <xdr:row>1</xdr:row>
      <xdr:rowOff>68580</xdr:rowOff>
    </xdr:from>
    <xdr:to>
      <xdr:col>2</xdr:col>
      <xdr:colOff>304800</xdr:colOff>
      <xdr:row>1</xdr:row>
      <xdr:rowOff>426720</xdr:rowOff>
    </xdr:to>
    <xdr:pic>
      <xdr:nvPicPr>
        <xdr:cNvPr id="4818697" name="Picture 71">
          <a:hlinkClick xmlns:r="http://schemas.openxmlformats.org/officeDocument/2006/relationships" r:id="rId1"/>
          <a:extLst>
            <a:ext uri="{FF2B5EF4-FFF2-40B4-BE49-F238E27FC236}">
              <a16:creationId xmlns:a16="http://schemas.microsoft.com/office/drawing/2014/main" id="{00000000-0008-0000-0C00-0000098749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75260" y="167640"/>
          <a:ext cx="342900" cy="358140"/>
        </a:xfrm>
        <a:prstGeom prst="rect">
          <a:avLst/>
        </a:prstGeom>
        <a:solidFill>
          <a:srgbClr val="1F497D">
            <a:alpha val="0"/>
          </a:srgbClr>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643890</xdr:colOff>
      <xdr:row>1</xdr:row>
      <xdr:rowOff>38100</xdr:rowOff>
    </xdr:from>
    <xdr:to>
      <xdr:col>6</xdr:col>
      <xdr:colOff>38117</xdr:colOff>
      <xdr:row>2</xdr:row>
      <xdr:rowOff>0</xdr:rowOff>
    </xdr:to>
    <xdr:sp macro="" textlink="">
      <xdr:nvSpPr>
        <xdr:cNvPr id="2" name="TextBox 1">
          <a:hlinkClick xmlns:r="http://schemas.openxmlformats.org/officeDocument/2006/relationships" r:id="rId3"/>
          <a:extLst>
            <a:ext uri="{FF2B5EF4-FFF2-40B4-BE49-F238E27FC236}">
              <a16:creationId xmlns:a16="http://schemas.microsoft.com/office/drawing/2014/main" id="{00000000-0008-0000-0C00-000002000000}"/>
            </a:ext>
          </a:extLst>
        </xdr:cNvPr>
        <xdr:cNvSpPr txBox="1"/>
      </xdr:nvSpPr>
      <xdr:spPr>
        <a:xfrm>
          <a:off x="853440" y="137160"/>
          <a:ext cx="2354580" cy="495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2000">
              <a:solidFill>
                <a:schemeClr val="bg1"/>
              </a:solidFill>
              <a:effectLst>
                <a:reflection blurRad="6350" stA="50000" endA="300" endPos="50000" dist="29997" dir="5400000" sy="-100000" algn="bl" rotWithShape="0"/>
              </a:effectLst>
            </a:rPr>
            <a:t>www.awwa.org</a:t>
          </a:r>
          <a:endParaRPr lang="en-US" sz="1800">
            <a:solidFill>
              <a:schemeClr val="bg1"/>
            </a:solidFill>
            <a:effectLst>
              <a:reflection blurRad="6350" stA="50000" endA="300" endPos="50000" dist="29997" dir="5400000" sy="-100000" algn="bl" rotWithShape="0"/>
            </a:effectLst>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274320</xdr:colOff>
      <xdr:row>22</xdr:row>
      <xdr:rowOff>1905</xdr:rowOff>
    </xdr:from>
    <xdr:to>
      <xdr:col>3</xdr:col>
      <xdr:colOff>493776</xdr:colOff>
      <xdr:row>22</xdr:row>
      <xdr:rowOff>155524</xdr:rowOff>
    </xdr:to>
    <xdr:sp macro="" textlink="">
      <xdr:nvSpPr>
        <xdr:cNvPr id="9218" name="Text Box 2">
          <a:hlinkClick xmlns:r="http://schemas.openxmlformats.org/officeDocument/2006/relationships" r:id="rId1"/>
          <a:extLst>
            <a:ext uri="{FF2B5EF4-FFF2-40B4-BE49-F238E27FC236}">
              <a16:creationId xmlns:a16="http://schemas.microsoft.com/office/drawing/2014/main" id="{00000000-0008-0000-0100-000002240000}"/>
            </a:ext>
          </a:extLst>
        </xdr:cNvPr>
        <xdr:cNvSpPr txBox="1">
          <a:spLocks noChangeArrowheads="1"/>
        </xdr:cNvSpPr>
      </xdr:nvSpPr>
      <xdr:spPr bwMode="auto">
        <a:xfrm>
          <a:off x="4451985" y="3301365"/>
          <a:ext cx="219456" cy="146304"/>
        </a:xfrm>
        <a:prstGeom prst="rect">
          <a:avLst/>
        </a:prstGeom>
        <a:solidFill>
          <a:schemeClr val="accent1"/>
        </a:solidFill>
        <a:ln w="9525">
          <a:noFill/>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FFFFFF"/>
              </a:solidFill>
              <a:latin typeface="Arial"/>
              <a:cs typeface="Arial"/>
            </a:rPr>
            <a:t>?</a:t>
          </a:r>
        </a:p>
      </xdr:txBody>
    </xdr:sp>
    <xdr:clientData/>
  </xdr:twoCellAnchor>
  <xdr:twoCellAnchor>
    <xdr:from>
      <xdr:col>3</xdr:col>
      <xdr:colOff>274320</xdr:colOff>
      <xdr:row>23</xdr:row>
      <xdr:rowOff>0</xdr:rowOff>
    </xdr:from>
    <xdr:to>
      <xdr:col>3</xdr:col>
      <xdr:colOff>493776</xdr:colOff>
      <xdr:row>23</xdr:row>
      <xdr:rowOff>146304</xdr:rowOff>
    </xdr:to>
    <xdr:sp macro="" textlink="">
      <xdr:nvSpPr>
        <xdr:cNvPr id="9219" name="Text Box 3">
          <a:hlinkClick xmlns:r="http://schemas.openxmlformats.org/officeDocument/2006/relationships" r:id="rId2"/>
          <a:extLst>
            <a:ext uri="{FF2B5EF4-FFF2-40B4-BE49-F238E27FC236}">
              <a16:creationId xmlns:a16="http://schemas.microsoft.com/office/drawing/2014/main" id="{00000000-0008-0000-0100-000003240000}"/>
            </a:ext>
          </a:extLst>
        </xdr:cNvPr>
        <xdr:cNvSpPr txBox="1">
          <a:spLocks noChangeArrowheads="1"/>
        </xdr:cNvSpPr>
      </xdr:nvSpPr>
      <xdr:spPr bwMode="auto">
        <a:xfrm>
          <a:off x="4422401" y="3505200"/>
          <a:ext cx="219456" cy="146304"/>
        </a:xfrm>
        <a:prstGeom prst="rect">
          <a:avLst/>
        </a:prstGeom>
        <a:solidFill>
          <a:schemeClr val="accent1"/>
        </a:solidFill>
        <a:ln w="9525">
          <a:noFill/>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FFFFFF"/>
              </a:solidFill>
              <a:latin typeface="Arial"/>
              <a:cs typeface="Arial"/>
            </a:rPr>
            <a:t>?</a:t>
          </a:r>
        </a:p>
      </xdr:txBody>
    </xdr:sp>
    <xdr:clientData/>
  </xdr:twoCellAnchor>
  <xdr:twoCellAnchor>
    <xdr:from>
      <xdr:col>3</xdr:col>
      <xdr:colOff>274320</xdr:colOff>
      <xdr:row>25</xdr:row>
      <xdr:rowOff>11430</xdr:rowOff>
    </xdr:from>
    <xdr:to>
      <xdr:col>3</xdr:col>
      <xdr:colOff>493776</xdr:colOff>
      <xdr:row>25</xdr:row>
      <xdr:rowOff>157734</xdr:rowOff>
    </xdr:to>
    <xdr:sp macro="" textlink="">
      <xdr:nvSpPr>
        <xdr:cNvPr id="9220" name="Text Box 4">
          <a:hlinkClick xmlns:r="http://schemas.openxmlformats.org/officeDocument/2006/relationships" r:id="rId3"/>
          <a:extLst>
            <a:ext uri="{FF2B5EF4-FFF2-40B4-BE49-F238E27FC236}">
              <a16:creationId xmlns:a16="http://schemas.microsoft.com/office/drawing/2014/main" id="{00000000-0008-0000-0100-000004240000}"/>
            </a:ext>
          </a:extLst>
        </xdr:cNvPr>
        <xdr:cNvSpPr txBox="1">
          <a:spLocks noChangeArrowheads="1"/>
        </xdr:cNvSpPr>
      </xdr:nvSpPr>
      <xdr:spPr bwMode="auto">
        <a:xfrm>
          <a:off x="4451985" y="3996690"/>
          <a:ext cx="219456" cy="146304"/>
        </a:xfrm>
        <a:prstGeom prst="rect">
          <a:avLst/>
        </a:prstGeom>
        <a:solidFill>
          <a:schemeClr val="accent1"/>
        </a:solidFill>
        <a:ln w="9525">
          <a:noFill/>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FFFFFF"/>
              </a:solidFill>
              <a:latin typeface="Arial"/>
              <a:cs typeface="Arial"/>
            </a:rPr>
            <a:t>?</a:t>
          </a:r>
        </a:p>
      </xdr:txBody>
    </xdr:sp>
    <xdr:clientData/>
  </xdr:twoCellAnchor>
  <xdr:twoCellAnchor>
    <xdr:from>
      <xdr:col>3</xdr:col>
      <xdr:colOff>274320</xdr:colOff>
      <xdr:row>14</xdr:row>
      <xdr:rowOff>11430</xdr:rowOff>
    </xdr:from>
    <xdr:to>
      <xdr:col>3</xdr:col>
      <xdr:colOff>493776</xdr:colOff>
      <xdr:row>14</xdr:row>
      <xdr:rowOff>165049</xdr:rowOff>
    </xdr:to>
    <xdr:sp macro="" textlink="">
      <xdr:nvSpPr>
        <xdr:cNvPr id="9221" name="Text Box 5">
          <a:hlinkClick xmlns:r="http://schemas.openxmlformats.org/officeDocument/2006/relationships" r:id="rId4"/>
          <a:extLst>
            <a:ext uri="{FF2B5EF4-FFF2-40B4-BE49-F238E27FC236}">
              <a16:creationId xmlns:a16="http://schemas.microsoft.com/office/drawing/2014/main" id="{00000000-0008-0000-0100-000005240000}"/>
            </a:ext>
          </a:extLst>
        </xdr:cNvPr>
        <xdr:cNvSpPr txBox="1">
          <a:spLocks noChangeArrowheads="1"/>
        </xdr:cNvSpPr>
      </xdr:nvSpPr>
      <xdr:spPr bwMode="auto">
        <a:xfrm>
          <a:off x="4422401" y="2180889"/>
          <a:ext cx="219456" cy="146304"/>
        </a:xfrm>
        <a:prstGeom prst="rect">
          <a:avLst/>
        </a:prstGeom>
        <a:solidFill>
          <a:schemeClr val="accent1"/>
        </a:solidFill>
        <a:ln w="9525">
          <a:noFill/>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FFFFFF"/>
              </a:solidFill>
              <a:latin typeface="Arial"/>
              <a:cs typeface="Arial"/>
            </a:rPr>
            <a:t>?</a:t>
          </a:r>
        </a:p>
      </xdr:txBody>
    </xdr:sp>
    <xdr:clientData/>
  </xdr:twoCellAnchor>
  <xdr:twoCellAnchor>
    <xdr:from>
      <xdr:col>3</xdr:col>
      <xdr:colOff>274320</xdr:colOff>
      <xdr:row>24</xdr:row>
      <xdr:rowOff>9525</xdr:rowOff>
    </xdr:from>
    <xdr:to>
      <xdr:col>3</xdr:col>
      <xdr:colOff>493776</xdr:colOff>
      <xdr:row>24</xdr:row>
      <xdr:rowOff>155829</xdr:rowOff>
    </xdr:to>
    <xdr:sp macro="" textlink="">
      <xdr:nvSpPr>
        <xdr:cNvPr id="9222" name="Text Box 6">
          <a:hlinkClick xmlns:r="http://schemas.openxmlformats.org/officeDocument/2006/relationships" r:id="rId5"/>
          <a:extLst>
            <a:ext uri="{FF2B5EF4-FFF2-40B4-BE49-F238E27FC236}">
              <a16:creationId xmlns:a16="http://schemas.microsoft.com/office/drawing/2014/main" id="{00000000-0008-0000-0100-000006240000}"/>
            </a:ext>
          </a:extLst>
        </xdr:cNvPr>
        <xdr:cNvSpPr txBox="1">
          <a:spLocks noChangeArrowheads="1"/>
        </xdr:cNvSpPr>
      </xdr:nvSpPr>
      <xdr:spPr bwMode="auto">
        <a:xfrm>
          <a:off x="4422401" y="3680572"/>
          <a:ext cx="219456" cy="146304"/>
        </a:xfrm>
        <a:prstGeom prst="rect">
          <a:avLst/>
        </a:prstGeom>
        <a:solidFill>
          <a:schemeClr val="accent1"/>
        </a:solidFill>
        <a:ln w="9525">
          <a:noFill/>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FFFFFF"/>
              </a:solidFill>
              <a:latin typeface="Arial"/>
              <a:cs typeface="Arial"/>
            </a:rPr>
            <a:t>?</a:t>
          </a:r>
        </a:p>
      </xdr:txBody>
    </xdr:sp>
    <xdr:clientData/>
  </xdr:twoCellAnchor>
  <xdr:twoCellAnchor>
    <xdr:from>
      <xdr:col>2</xdr:col>
      <xdr:colOff>100965</xdr:colOff>
      <xdr:row>2</xdr:row>
      <xdr:rowOff>85725</xdr:rowOff>
    </xdr:from>
    <xdr:to>
      <xdr:col>2</xdr:col>
      <xdr:colOff>318688</xdr:colOff>
      <xdr:row>3</xdr:row>
      <xdr:rowOff>109233</xdr:rowOff>
    </xdr:to>
    <xdr:sp macro="" textlink="">
      <xdr:nvSpPr>
        <xdr:cNvPr id="9223" name="Text Box 7">
          <a:extLst>
            <a:ext uri="{FF2B5EF4-FFF2-40B4-BE49-F238E27FC236}">
              <a16:creationId xmlns:a16="http://schemas.microsoft.com/office/drawing/2014/main" id="{00000000-0008-0000-0100-000007240000}"/>
            </a:ext>
          </a:extLst>
        </xdr:cNvPr>
        <xdr:cNvSpPr txBox="1">
          <a:spLocks noChangeArrowheads="1"/>
        </xdr:cNvSpPr>
      </xdr:nvSpPr>
      <xdr:spPr bwMode="auto">
        <a:xfrm>
          <a:off x="276225" y="702945"/>
          <a:ext cx="219075" cy="131731"/>
        </a:xfrm>
        <a:prstGeom prst="rect">
          <a:avLst/>
        </a:prstGeom>
        <a:solidFill>
          <a:schemeClr val="accent1"/>
        </a:solidFill>
        <a:ln w="9525">
          <a:noFill/>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FFFFFF"/>
              </a:solidFill>
              <a:latin typeface="Arial"/>
              <a:cs typeface="Arial"/>
            </a:rPr>
            <a:t>?</a:t>
          </a:r>
        </a:p>
      </xdr:txBody>
    </xdr:sp>
    <xdr:clientData/>
  </xdr:twoCellAnchor>
  <xdr:twoCellAnchor>
    <xdr:from>
      <xdr:col>2</xdr:col>
      <xdr:colOff>367665</xdr:colOff>
      <xdr:row>2</xdr:row>
      <xdr:rowOff>76200</xdr:rowOff>
    </xdr:from>
    <xdr:to>
      <xdr:col>2</xdr:col>
      <xdr:colOff>1777365</xdr:colOff>
      <xdr:row>3</xdr:row>
      <xdr:rowOff>144780</xdr:rowOff>
    </xdr:to>
    <xdr:sp macro="" textlink="">
      <xdr:nvSpPr>
        <xdr:cNvPr id="9224" name="Text Box 8">
          <a:extLst>
            <a:ext uri="{FF2B5EF4-FFF2-40B4-BE49-F238E27FC236}">
              <a16:creationId xmlns:a16="http://schemas.microsoft.com/office/drawing/2014/main" id="{00000000-0008-0000-0100-000008240000}"/>
            </a:ext>
          </a:extLst>
        </xdr:cNvPr>
        <xdr:cNvSpPr txBox="1">
          <a:spLocks noChangeArrowheads="1"/>
        </xdr:cNvSpPr>
      </xdr:nvSpPr>
      <xdr:spPr bwMode="auto">
        <a:xfrm>
          <a:off x="544830" y="632460"/>
          <a:ext cx="1409700" cy="167640"/>
        </a:xfrm>
        <a:prstGeom prst="rect">
          <a:avLst/>
        </a:prstGeom>
        <a:noFill/>
        <a:ln w="9525">
          <a:solidFill>
            <a:srgbClr val="000000"/>
          </a:solidFill>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000000"/>
              </a:solidFill>
              <a:latin typeface="Arial"/>
              <a:cs typeface="Arial"/>
            </a:rPr>
            <a:t>Click to access definition</a:t>
          </a:r>
        </a:p>
      </xdr:txBody>
    </xdr:sp>
    <xdr:clientData/>
  </xdr:twoCellAnchor>
  <xdr:twoCellAnchor>
    <xdr:from>
      <xdr:col>3</xdr:col>
      <xdr:colOff>272403</xdr:colOff>
      <xdr:row>62</xdr:row>
      <xdr:rowOff>28575</xdr:rowOff>
    </xdr:from>
    <xdr:to>
      <xdr:col>3</xdr:col>
      <xdr:colOff>491859</xdr:colOff>
      <xdr:row>63</xdr:row>
      <xdr:rowOff>9031</xdr:rowOff>
    </xdr:to>
    <xdr:sp macro="" textlink="">
      <xdr:nvSpPr>
        <xdr:cNvPr id="9229" name="Text Box 13">
          <a:hlinkClick xmlns:r="http://schemas.openxmlformats.org/officeDocument/2006/relationships" r:id="rId6"/>
          <a:extLst>
            <a:ext uri="{FF2B5EF4-FFF2-40B4-BE49-F238E27FC236}">
              <a16:creationId xmlns:a16="http://schemas.microsoft.com/office/drawing/2014/main" id="{00000000-0008-0000-0100-00000D240000}"/>
            </a:ext>
          </a:extLst>
        </xdr:cNvPr>
        <xdr:cNvSpPr txBox="1">
          <a:spLocks noChangeArrowheads="1"/>
        </xdr:cNvSpPr>
      </xdr:nvSpPr>
      <xdr:spPr bwMode="auto">
        <a:xfrm>
          <a:off x="4420484" y="8289551"/>
          <a:ext cx="219456" cy="146304"/>
        </a:xfrm>
        <a:prstGeom prst="rect">
          <a:avLst/>
        </a:prstGeom>
        <a:solidFill>
          <a:schemeClr val="accent1"/>
        </a:solidFill>
        <a:ln w="9525">
          <a:noFill/>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FFFFFF"/>
              </a:solidFill>
              <a:latin typeface="Arial"/>
              <a:cs typeface="Arial"/>
            </a:rPr>
            <a:t>?</a:t>
          </a:r>
        </a:p>
      </xdr:txBody>
    </xdr:sp>
    <xdr:clientData/>
  </xdr:twoCellAnchor>
  <xdr:twoCellAnchor>
    <xdr:from>
      <xdr:col>3</xdr:col>
      <xdr:colOff>272403</xdr:colOff>
      <xdr:row>61</xdr:row>
      <xdr:rowOff>19050</xdr:rowOff>
    </xdr:from>
    <xdr:to>
      <xdr:col>3</xdr:col>
      <xdr:colOff>491859</xdr:colOff>
      <xdr:row>62</xdr:row>
      <xdr:rowOff>3429</xdr:rowOff>
    </xdr:to>
    <xdr:sp macro="" textlink="">
      <xdr:nvSpPr>
        <xdr:cNvPr id="9230" name="Text Box 14">
          <a:hlinkClick xmlns:r="http://schemas.openxmlformats.org/officeDocument/2006/relationships" r:id="rId7"/>
          <a:extLst>
            <a:ext uri="{FF2B5EF4-FFF2-40B4-BE49-F238E27FC236}">
              <a16:creationId xmlns:a16="http://schemas.microsoft.com/office/drawing/2014/main" id="{00000000-0008-0000-0100-00000E240000}"/>
            </a:ext>
          </a:extLst>
        </xdr:cNvPr>
        <xdr:cNvSpPr txBox="1">
          <a:spLocks noChangeArrowheads="1"/>
        </xdr:cNvSpPr>
      </xdr:nvSpPr>
      <xdr:spPr bwMode="auto">
        <a:xfrm>
          <a:off x="4420484" y="8114179"/>
          <a:ext cx="219456" cy="146304"/>
        </a:xfrm>
        <a:prstGeom prst="rect">
          <a:avLst/>
        </a:prstGeom>
        <a:solidFill>
          <a:schemeClr val="accent1"/>
        </a:solidFill>
        <a:ln w="9525">
          <a:noFill/>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FFFFFF"/>
              </a:solidFill>
              <a:latin typeface="Arial"/>
              <a:cs typeface="Arial"/>
            </a:rPr>
            <a:t>?</a:t>
          </a:r>
        </a:p>
      </xdr:txBody>
    </xdr:sp>
    <xdr:clientData/>
  </xdr:twoCellAnchor>
  <xdr:twoCellAnchor>
    <xdr:from>
      <xdr:col>3</xdr:col>
      <xdr:colOff>272964</xdr:colOff>
      <xdr:row>42</xdr:row>
      <xdr:rowOff>22411</xdr:rowOff>
    </xdr:from>
    <xdr:to>
      <xdr:col>3</xdr:col>
      <xdr:colOff>492420</xdr:colOff>
      <xdr:row>43</xdr:row>
      <xdr:rowOff>2868</xdr:rowOff>
    </xdr:to>
    <xdr:sp macro="" textlink="">
      <xdr:nvSpPr>
        <xdr:cNvPr id="9231" name="Text Box 15">
          <a:hlinkClick xmlns:r="http://schemas.openxmlformats.org/officeDocument/2006/relationships" r:id="rId8"/>
          <a:extLst>
            <a:ext uri="{FF2B5EF4-FFF2-40B4-BE49-F238E27FC236}">
              <a16:creationId xmlns:a16="http://schemas.microsoft.com/office/drawing/2014/main" id="{00000000-0008-0000-0100-00000F240000}"/>
            </a:ext>
          </a:extLst>
        </xdr:cNvPr>
        <xdr:cNvSpPr txBox="1">
          <a:spLocks noChangeArrowheads="1"/>
        </xdr:cNvSpPr>
      </xdr:nvSpPr>
      <xdr:spPr bwMode="auto">
        <a:xfrm>
          <a:off x="4421045" y="5858435"/>
          <a:ext cx="219456" cy="146304"/>
        </a:xfrm>
        <a:prstGeom prst="rect">
          <a:avLst/>
        </a:prstGeom>
        <a:solidFill>
          <a:schemeClr val="accent1"/>
        </a:solidFill>
        <a:ln w="9525">
          <a:noFill/>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FFFFFF"/>
              </a:solidFill>
              <a:latin typeface="Arial"/>
              <a:cs typeface="Arial"/>
            </a:rPr>
            <a:t>?</a:t>
          </a:r>
        </a:p>
      </xdr:txBody>
    </xdr:sp>
    <xdr:clientData/>
  </xdr:twoCellAnchor>
  <xdr:twoCellAnchor>
    <xdr:from>
      <xdr:col>3</xdr:col>
      <xdr:colOff>272964</xdr:colOff>
      <xdr:row>41</xdr:row>
      <xdr:rowOff>23532</xdr:rowOff>
    </xdr:from>
    <xdr:to>
      <xdr:col>3</xdr:col>
      <xdr:colOff>492420</xdr:colOff>
      <xdr:row>41</xdr:row>
      <xdr:rowOff>168312</xdr:rowOff>
    </xdr:to>
    <xdr:sp macro="" textlink="">
      <xdr:nvSpPr>
        <xdr:cNvPr id="9232" name="Text Box 16">
          <a:hlinkClick xmlns:r="http://schemas.openxmlformats.org/officeDocument/2006/relationships" r:id="rId9"/>
          <a:extLst>
            <a:ext uri="{FF2B5EF4-FFF2-40B4-BE49-F238E27FC236}">
              <a16:creationId xmlns:a16="http://schemas.microsoft.com/office/drawing/2014/main" id="{00000000-0008-0000-0100-000010240000}"/>
            </a:ext>
          </a:extLst>
        </xdr:cNvPr>
        <xdr:cNvSpPr txBox="1">
          <a:spLocks noChangeArrowheads="1"/>
        </xdr:cNvSpPr>
      </xdr:nvSpPr>
      <xdr:spPr bwMode="auto">
        <a:xfrm>
          <a:off x="4421045" y="5666814"/>
          <a:ext cx="219456" cy="146304"/>
        </a:xfrm>
        <a:prstGeom prst="rect">
          <a:avLst/>
        </a:prstGeom>
        <a:solidFill>
          <a:schemeClr val="accent1"/>
        </a:solidFill>
        <a:ln w="9525">
          <a:noFill/>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FFFFFF"/>
              </a:solidFill>
              <a:latin typeface="Arial"/>
              <a:cs typeface="Arial"/>
            </a:rPr>
            <a:t>?</a:t>
          </a:r>
        </a:p>
      </xdr:txBody>
    </xdr:sp>
    <xdr:clientData/>
  </xdr:twoCellAnchor>
  <xdr:twoCellAnchor>
    <xdr:from>
      <xdr:col>3</xdr:col>
      <xdr:colOff>272403</xdr:colOff>
      <xdr:row>66</xdr:row>
      <xdr:rowOff>5715</xdr:rowOff>
    </xdr:from>
    <xdr:to>
      <xdr:col>3</xdr:col>
      <xdr:colOff>491859</xdr:colOff>
      <xdr:row>66</xdr:row>
      <xdr:rowOff>153812</xdr:rowOff>
    </xdr:to>
    <xdr:sp macro="" textlink="">
      <xdr:nvSpPr>
        <xdr:cNvPr id="9237" name="Text Box 21">
          <a:hlinkClick xmlns:r="http://schemas.openxmlformats.org/officeDocument/2006/relationships" r:id="rId10"/>
          <a:extLst>
            <a:ext uri="{FF2B5EF4-FFF2-40B4-BE49-F238E27FC236}">
              <a16:creationId xmlns:a16="http://schemas.microsoft.com/office/drawing/2014/main" id="{00000000-0008-0000-0100-000015240000}"/>
            </a:ext>
          </a:extLst>
        </xdr:cNvPr>
        <xdr:cNvSpPr txBox="1">
          <a:spLocks noChangeArrowheads="1"/>
        </xdr:cNvSpPr>
      </xdr:nvSpPr>
      <xdr:spPr bwMode="auto">
        <a:xfrm>
          <a:off x="4419588" y="8913495"/>
          <a:ext cx="219456" cy="148097"/>
        </a:xfrm>
        <a:prstGeom prst="rect">
          <a:avLst/>
        </a:prstGeom>
        <a:solidFill>
          <a:schemeClr val="accent1"/>
        </a:solidFill>
        <a:ln w="9525">
          <a:noFill/>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FFFFFF"/>
              </a:solidFill>
              <a:latin typeface="Arial"/>
              <a:cs typeface="Arial"/>
            </a:rPr>
            <a:t>?</a:t>
          </a:r>
        </a:p>
      </xdr:txBody>
    </xdr:sp>
    <xdr:clientData/>
  </xdr:twoCellAnchor>
  <xdr:twoCellAnchor>
    <xdr:from>
      <xdr:col>3</xdr:col>
      <xdr:colOff>272403</xdr:colOff>
      <xdr:row>68</xdr:row>
      <xdr:rowOff>28575</xdr:rowOff>
    </xdr:from>
    <xdr:to>
      <xdr:col>3</xdr:col>
      <xdr:colOff>491859</xdr:colOff>
      <xdr:row>69</xdr:row>
      <xdr:rowOff>9032</xdr:rowOff>
    </xdr:to>
    <xdr:sp macro="" textlink="">
      <xdr:nvSpPr>
        <xdr:cNvPr id="9238" name="Text Box 22">
          <a:hlinkClick xmlns:r="http://schemas.openxmlformats.org/officeDocument/2006/relationships" r:id="rId11"/>
          <a:extLst>
            <a:ext uri="{FF2B5EF4-FFF2-40B4-BE49-F238E27FC236}">
              <a16:creationId xmlns:a16="http://schemas.microsoft.com/office/drawing/2014/main" id="{00000000-0008-0000-0100-000016240000}"/>
            </a:ext>
          </a:extLst>
        </xdr:cNvPr>
        <xdr:cNvSpPr txBox="1">
          <a:spLocks noChangeArrowheads="1"/>
        </xdr:cNvSpPr>
      </xdr:nvSpPr>
      <xdr:spPr bwMode="auto">
        <a:xfrm>
          <a:off x="4420484" y="9284634"/>
          <a:ext cx="219456" cy="146304"/>
        </a:xfrm>
        <a:prstGeom prst="rect">
          <a:avLst/>
        </a:prstGeom>
        <a:solidFill>
          <a:schemeClr val="accent1"/>
        </a:solidFill>
        <a:ln w="9525">
          <a:noFill/>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FFFFFF"/>
              </a:solidFill>
              <a:latin typeface="Arial"/>
              <a:cs typeface="Arial"/>
            </a:rPr>
            <a:t>?</a:t>
          </a:r>
        </a:p>
      </xdr:txBody>
    </xdr:sp>
    <xdr:clientData/>
  </xdr:twoCellAnchor>
  <xdr:twoCellAnchor>
    <xdr:from>
      <xdr:col>2</xdr:col>
      <xdr:colOff>17145</xdr:colOff>
      <xdr:row>6</xdr:row>
      <xdr:rowOff>76200</xdr:rowOff>
    </xdr:from>
    <xdr:to>
      <xdr:col>15</xdr:col>
      <xdr:colOff>1</xdr:colOff>
      <xdr:row>7</xdr:row>
      <xdr:rowOff>152400</xdr:rowOff>
    </xdr:to>
    <xdr:sp macro="" textlink="">
      <xdr:nvSpPr>
        <xdr:cNvPr id="9241" name="Text Box 25">
          <a:extLst>
            <a:ext uri="{FF2B5EF4-FFF2-40B4-BE49-F238E27FC236}">
              <a16:creationId xmlns:a16="http://schemas.microsoft.com/office/drawing/2014/main" id="{00000000-0008-0000-0100-000019240000}"/>
            </a:ext>
          </a:extLst>
        </xdr:cNvPr>
        <xdr:cNvSpPr txBox="1">
          <a:spLocks noChangeArrowheads="1"/>
        </xdr:cNvSpPr>
      </xdr:nvSpPr>
      <xdr:spPr bwMode="auto">
        <a:xfrm>
          <a:off x="180975" y="1133475"/>
          <a:ext cx="9496425" cy="304800"/>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US" sz="900" b="0" i="0" u="none" strike="noStrike" baseline="0">
              <a:solidFill>
                <a:srgbClr val="000000"/>
              </a:solidFill>
              <a:latin typeface="Arial"/>
              <a:cs typeface="Arial"/>
            </a:rPr>
            <a:t>Please enter data in the white cells below. Where available, metered values should be used; if metered values are unavailable please estimate a value. Indicate your confidence in the accuracy of the input data by grading each component (n/a or 1-10) using the drop-down list to the left of the input cell. Hover the mouse over the cell to obtain a description of the grades</a:t>
          </a:r>
        </a:p>
      </xdr:txBody>
    </xdr:sp>
    <xdr:clientData/>
  </xdr:twoCellAnchor>
  <xdr:twoCellAnchor>
    <xdr:from>
      <xdr:col>3</xdr:col>
      <xdr:colOff>277446</xdr:colOff>
      <xdr:row>77</xdr:row>
      <xdr:rowOff>8292</xdr:rowOff>
    </xdr:from>
    <xdr:to>
      <xdr:col>3</xdr:col>
      <xdr:colOff>496902</xdr:colOff>
      <xdr:row>77</xdr:row>
      <xdr:rowOff>162724</xdr:rowOff>
    </xdr:to>
    <xdr:sp macro="" textlink="">
      <xdr:nvSpPr>
        <xdr:cNvPr id="9253" name="Text Box 37">
          <a:hlinkClick xmlns:r="http://schemas.openxmlformats.org/officeDocument/2006/relationships" r:id="rId12"/>
          <a:extLst>
            <a:ext uri="{FF2B5EF4-FFF2-40B4-BE49-F238E27FC236}">
              <a16:creationId xmlns:a16="http://schemas.microsoft.com/office/drawing/2014/main" id="{00000000-0008-0000-0100-000025240000}"/>
            </a:ext>
          </a:extLst>
        </xdr:cNvPr>
        <xdr:cNvSpPr txBox="1">
          <a:spLocks noChangeArrowheads="1"/>
        </xdr:cNvSpPr>
      </xdr:nvSpPr>
      <xdr:spPr bwMode="auto">
        <a:xfrm>
          <a:off x="4425527" y="10320841"/>
          <a:ext cx="219456" cy="146304"/>
        </a:xfrm>
        <a:prstGeom prst="rect">
          <a:avLst/>
        </a:prstGeom>
        <a:solidFill>
          <a:schemeClr val="accent1"/>
        </a:solidFill>
        <a:ln w="9525">
          <a:noFill/>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FFFFFF"/>
              </a:solidFill>
              <a:latin typeface="Arial"/>
              <a:cs typeface="Arial"/>
            </a:rPr>
            <a:t>?</a:t>
          </a:r>
        </a:p>
      </xdr:txBody>
    </xdr:sp>
    <xdr:clientData/>
  </xdr:twoCellAnchor>
  <xdr:twoCellAnchor>
    <xdr:from>
      <xdr:col>3</xdr:col>
      <xdr:colOff>274320</xdr:colOff>
      <xdr:row>15</xdr:row>
      <xdr:rowOff>14252</xdr:rowOff>
    </xdr:from>
    <xdr:to>
      <xdr:col>3</xdr:col>
      <xdr:colOff>493776</xdr:colOff>
      <xdr:row>16</xdr:row>
      <xdr:rowOff>231</xdr:rowOff>
    </xdr:to>
    <xdr:sp macro="" textlink="">
      <xdr:nvSpPr>
        <xdr:cNvPr id="9311" name="Text Box 95">
          <a:hlinkClick xmlns:r="http://schemas.openxmlformats.org/officeDocument/2006/relationships" r:id="rId13"/>
          <a:extLst>
            <a:ext uri="{FF2B5EF4-FFF2-40B4-BE49-F238E27FC236}">
              <a16:creationId xmlns:a16="http://schemas.microsoft.com/office/drawing/2014/main" id="{00000000-0008-0000-0100-00005F240000}"/>
            </a:ext>
          </a:extLst>
        </xdr:cNvPr>
        <xdr:cNvSpPr txBox="1">
          <a:spLocks noChangeArrowheads="1"/>
        </xdr:cNvSpPr>
      </xdr:nvSpPr>
      <xdr:spPr bwMode="auto">
        <a:xfrm>
          <a:off x="4422401" y="2349558"/>
          <a:ext cx="219456" cy="146304"/>
        </a:xfrm>
        <a:prstGeom prst="rect">
          <a:avLst/>
        </a:prstGeom>
        <a:solidFill>
          <a:schemeClr val="accent1"/>
        </a:solidFill>
        <a:ln w="9525">
          <a:solidFill>
            <a:schemeClr val="bg1"/>
          </a:solidFill>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FFFFFF"/>
              </a:solidFill>
              <a:latin typeface="Arial"/>
              <a:cs typeface="Arial"/>
            </a:rPr>
            <a:t>?</a:t>
          </a:r>
        </a:p>
      </xdr:txBody>
    </xdr:sp>
    <xdr:clientData/>
  </xdr:twoCellAnchor>
  <xdr:twoCellAnchor>
    <xdr:from>
      <xdr:col>3</xdr:col>
      <xdr:colOff>274320</xdr:colOff>
      <xdr:row>16</xdr:row>
      <xdr:rowOff>11430</xdr:rowOff>
    </xdr:from>
    <xdr:to>
      <xdr:col>3</xdr:col>
      <xdr:colOff>493776</xdr:colOff>
      <xdr:row>17</xdr:row>
      <xdr:rowOff>3810</xdr:rowOff>
    </xdr:to>
    <xdr:sp macro="" textlink="">
      <xdr:nvSpPr>
        <xdr:cNvPr id="9312" name="Text Box 96">
          <a:hlinkClick xmlns:r="http://schemas.openxmlformats.org/officeDocument/2006/relationships" r:id="rId14"/>
          <a:extLst>
            <a:ext uri="{FF2B5EF4-FFF2-40B4-BE49-F238E27FC236}">
              <a16:creationId xmlns:a16="http://schemas.microsoft.com/office/drawing/2014/main" id="{00000000-0008-0000-0100-000060240000}"/>
            </a:ext>
          </a:extLst>
        </xdr:cNvPr>
        <xdr:cNvSpPr txBox="1">
          <a:spLocks noChangeArrowheads="1"/>
        </xdr:cNvSpPr>
      </xdr:nvSpPr>
      <xdr:spPr bwMode="auto">
        <a:xfrm>
          <a:off x="4422401" y="2520203"/>
          <a:ext cx="219456" cy="146304"/>
        </a:xfrm>
        <a:prstGeom prst="rect">
          <a:avLst/>
        </a:prstGeom>
        <a:solidFill>
          <a:schemeClr val="accent1"/>
        </a:solidFill>
        <a:ln w="9525">
          <a:noFill/>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FFFFFF"/>
              </a:solidFill>
              <a:latin typeface="Arial"/>
              <a:cs typeface="Arial"/>
            </a:rPr>
            <a:t>?</a:t>
          </a:r>
        </a:p>
      </xdr:txBody>
    </xdr:sp>
    <xdr:clientData/>
  </xdr:twoCellAnchor>
  <xdr:twoCellAnchor>
    <xdr:from>
      <xdr:col>3</xdr:col>
      <xdr:colOff>272964</xdr:colOff>
      <xdr:row>37</xdr:row>
      <xdr:rowOff>23532</xdr:rowOff>
    </xdr:from>
    <xdr:to>
      <xdr:col>3</xdr:col>
      <xdr:colOff>492420</xdr:colOff>
      <xdr:row>37</xdr:row>
      <xdr:rowOff>168312</xdr:rowOff>
    </xdr:to>
    <xdr:sp macro="" textlink="">
      <xdr:nvSpPr>
        <xdr:cNvPr id="9313" name="Text Box 97">
          <a:hlinkClick xmlns:r="http://schemas.openxmlformats.org/officeDocument/2006/relationships" r:id="rId15"/>
          <a:extLst>
            <a:ext uri="{FF2B5EF4-FFF2-40B4-BE49-F238E27FC236}">
              <a16:creationId xmlns:a16="http://schemas.microsoft.com/office/drawing/2014/main" id="{00000000-0008-0000-0100-000061240000}"/>
            </a:ext>
          </a:extLst>
        </xdr:cNvPr>
        <xdr:cNvSpPr txBox="1">
          <a:spLocks noChangeArrowheads="1"/>
        </xdr:cNvSpPr>
      </xdr:nvSpPr>
      <xdr:spPr bwMode="auto">
        <a:xfrm>
          <a:off x="4421045" y="5236508"/>
          <a:ext cx="219456" cy="146304"/>
        </a:xfrm>
        <a:prstGeom prst="rect">
          <a:avLst/>
        </a:prstGeom>
        <a:solidFill>
          <a:schemeClr val="accent1"/>
        </a:solidFill>
        <a:ln w="9525">
          <a:noFill/>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FFFFFF"/>
              </a:solidFill>
              <a:latin typeface="Arial"/>
              <a:cs typeface="Arial"/>
            </a:rPr>
            <a:t>?</a:t>
          </a:r>
        </a:p>
      </xdr:txBody>
    </xdr:sp>
    <xdr:clientData/>
  </xdr:twoCellAnchor>
  <xdr:twoCellAnchor>
    <xdr:from>
      <xdr:col>3</xdr:col>
      <xdr:colOff>277446</xdr:colOff>
      <xdr:row>76</xdr:row>
      <xdr:rowOff>23532</xdr:rowOff>
    </xdr:from>
    <xdr:to>
      <xdr:col>3</xdr:col>
      <xdr:colOff>496902</xdr:colOff>
      <xdr:row>76</xdr:row>
      <xdr:rowOff>168312</xdr:rowOff>
    </xdr:to>
    <xdr:sp macro="" textlink="">
      <xdr:nvSpPr>
        <xdr:cNvPr id="9315" name="Text Box 99">
          <a:hlinkClick xmlns:r="http://schemas.openxmlformats.org/officeDocument/2006/relationships" r:id="rId16"/>
          <a:extLst>
            <a:ext uri="{FF2B5EF4-FFF2-40B4-BE49-F238E27FC236}">
              <a16:creationId xmlns:a16="http://schemas.microsoft.com/office/drawing/2014/main" id="{00000000-0008-0000-0100-000063240000}"/>
            </a:ext>
          </a:extLst>
        </xdr:cNvPr>
        <xdr:cNvSpPr txBox="1">
          <a:spLocks noChangeArrowheads="1"/>
        </xdr:cNvSpPr>
      </xdr:nvSpPr>
      <xdr:spPr bwMode="auto">
        <a:xfrm>
          <a:off x="4425527" y="10153650"/>
          <a:ext cx="219456" cy="146304"/>
        </a:xfrm>
        <a:prstGeom prst="rect">
          <a:avLst/>
        </a:prstGeom>
        <a:solidFill>
          <a:schemeClr val="accent1"/>
        </a:solidFill>
        <a:ln w="9525">
          <a:noFill/>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FFFFFF"/>
              </a:solidFill>
              <a:latin typeface="Arial"/>
              <a:cs typeface="Arial"/>
            </a:rPr>
            <a:t>?</a:t>
          </a:r>
        </a:p>
      </xdr:txBody>
    </xdr:sp>
    <xdr:clientData/>
  </xdr:twoCellAnchor>
  <xdr:twoCellAnchor>
    <xdr:from>
      <xdr:col>3</xdr:col>
      <xdr:colOff>277446</xdr:colOff>
      <xdr:row>75</xdr:row>
      <xdr:rowOff>23532</xdr:rowOff>
    </xdr:from>
    <xdr:to>
      <xdr:col>3</xdr:col>
      <xdr:colOff>496902</xdr:colOff>
      <xdr:row>75</xdr:row>
      <xdr:rowOff>168312</xdr:rowOff>
    </xdr:to>
    <xdr:sp macro="" textlink="">
      <xdr:nvSpPr>
        <xdr:cNvPr id="9316" name="Text Box 100">
          <a:hlinkClick xmlns:r="http://schemas.openxmlformats.org/officeDocument/2006/relationships" r:id="rId17"/>
          <a:extLst>
            <a:ext uri="{FF2B5EF4-FFF2-40B4-BE49-F238E27FC236}">
              <a16:creationId xmlns:a16="http://schemas.microsoft.com/office/drawing/2014/main" id="{00000000-0008-0000-0100-000064240000}"/>
            </a:ext>
          </a:extLst>
        </xdr:cNvPr>
        <xdr:cNvSpPr txBox="1">
          <a:spLocks noChangeArrowheads="1"/>
        </xdr:cNvSpPr>
      </xdr:nvSpPr>
      <xdr:spPr bwMode="auto">
        <a:xfrm>
          <a:off x="4425527" y="9978838"/>
          <a:ext cx="219456" cy="146304"/>
        </a:xfrm>
        <a:prstGeom prst="rect">
          <a:avLst/>
        </a:prstGeom>
        <a:solidFill>
          <a:schemeClr val="accent1"/>
        </a:solidFill>
        <a:ln w="9525">
          <a:noFill/>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FFFFFF"/>
              </a:solidFill>
              <a:latin typeface="Arial"/>
              <a:cs typeface="Arial"/>
            </a:rPr>
            <a:t>?</a:t>
          </a:r>
        </a:p>
      </xdr:txBody>
    </xdr:sp>
    <xdr:clientData/>
  </xdr:twoCellAnchor>
  <xdr:twoCellAnchor>
    <xdr:from>
      <xdr:col>8</xdr:col>
      <xdr:colOff>462915</xdr:colOff>
      <xdr:row>65</xdr:row>
      <xdr:rowOff>53340</xdr:rowOff>
    </xdr:from>
    <xdr:to>
      <xdr:col>13</xdr:col>
      <xdr:colOff>160015</xdr:colOff>
      <xdr:row>67</xdr:row>
      <xdr:rowOff>55289</xdr:rowOff>
    </xdr:to>
    <xdr:sp macro="" textlink="">
      <xdr:nvSpPr>
        <xdr:cNvPr id="9343" name="Rectangle 127">
          <a:extLst>
            <a:ext uri="{FF2B5EF4-FFF2-40B4-BE49-F238E27FC236}">
              <a16:creationId xmlns:a16="http://schemas.microsoft.com/office/drawing/2014/main" id="{00000000-0008-0000-0100-00007F240000}"/>
            </a:ext>
          </a:extLst>
        </xdr:cNvPr>
        <xdr:cNvSpPr>
          <a:spLocks noChangeArrowheads="1"/>
        </xdr:cNvSpPr>
      </xdr:nvSpPr>
      <xdr:spPr bwMode="auto">
        <a:xfrm>
          <a:off x="6722745" y="8831580"/>
          <a:ext cx="2634615" cy="337229"/>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US" sz="900" b="0" i="0" u="none" strike="noStrike" baseline="0">
              <a:solidFill>
                <a:srgbClr val="000000"/>
              </a:solidFill>
              <a:latin typeface="Arial" pitchFamily="34" charset="0"/>
              <a:cs typeface="Arial" pitchFamily="34" charset="0"/>
            </a:rPr>
            <a:t>(length of service line, </a:t>
          </a:r>
          <a:r>
            <a:rPr lang="en-US" sz="900" b="0" i="0" u="sng" strike="noStrike" baseline="0">
              <a:solidFill>
                <a:srgbClr val="000000"/>
              </a:solidFill>
              <a:latin typeface="Arial" pitchFamily="34" charset="0"/>
              <a:cs typeface="Arial" pitchFamily="34" charset="0"/>
            </a:rPr>
            <a:t>beyond</a:t>
          </a:r>
          <a:r>
            <a:rPr lang="en-US" sz="900" b="0" i="0" u="none" strike="noStrike" baseline="0">
              <a:solidFill>
                <a:srgbClr val="000000"/>
              </a:solidFill>
              <a:latin typeface="Arial" pitchFamily="34" charset="0"/>
              <a:cs typeface="Arial" pitchFamily="34" charset="0"/>
            </a:rPr>
            <a:t> the property boundary, that is the responsibility of the utility)</a:t>
          </a:r>
        </a:p>
      </xdr:txBody>
    </xdr:sp>
    <xdr:clientData/>
  </xdr:twoCellAnchor>
  <xdr:twoCellAnchor>
    <xdr:from>
      <xdr:col>12</xdr:col>
      <xdr:colOff>224790</xdr:colOff>
      <xdr:row>27</xdr:row>
      <xdr:rowOff>152400</xdr:rowOff>
    </xdr:from>
    <xdr:to>
      <xdr:col>15</xdr:col>
      <xdr:colOff>127652</xdr:colOff>
      <xdr:row>36</xdr:row>
      <xdr:rowOff>7620</xdr:rowOff>
    </xdr:to>
    <xdr:sp macro="" textlink="">
      <xdr:nvSpPr>
        <xdr:cNvPr id="9442" name="Text Box 226">
          <a:extLst>
            <a:ext uri="{FF2B5EF4-FFF2-40B4-BE49-F238E27FC236}">
              <a16:creationId xmlns:a16="http://schemas.microsoft.com/office/drawing/2014/main" id="{00000000-0008-0000-0100-0000E2240000}"/>
            </a:ext>
          </a:extLst>
        </xdr:cNvPr>
        <xdr:cNvSpPr txBox="1">
          <a:spLocks noChangeArrowheads="1"/>
        </xdr:cNvSpPr>
      </xdr:nvSpPr>
      <xdr:spPr bwMode="auto">
        <a:xfrm>
          <a:off x="8804910" y="4351020"/>
          <a:ext cx="1480202" cy="838200"/>
        </a:xfrm>
        <a:prstGeom prst="rect">
          <a:avLst/>
        </a:prstGeom>
        <a:noFill/>
        <a:ln w="12700" algn="ctr">
          <a:noFill/>
          <a:miter lim="800000"/>
          <a:headEnd/>
          <a:tailEnd/>
        </a:ln>
        <a:effectLst/>
      </xdr:spPr>
      <xdr:txBody>
        <a:bodyPr vertOverflow="clip" wrap="square" lIns="27432" tIns="22860" rIns="27432" bIns="0" anchor="t" upright="1"/>
        <a:lstStyle/>
        <a:p>
          <a:pPr algn="ctr" rtl="0">
            <a:defRPr sz="1000"/>
          </a:pPr>
          <a:r>
            <a:rPr lang="en-US" sz="900" b="0" i="0" u="none" strike="noStrike" baseline="0">
              <a:solidFill>
                <a:srgbClr val="000000"/>
              </a:solidFill>
              <a:latin typeface="Arial"/>
              <a:cs typeface="Arial"/>
            </a:rPr>
            <a:t>Use buttons to select</a:t>
          </a:r>
        </a:p>
        <a:p>
          <a:pPr algn="ctr" rtl="0">
            <a:defRPr sz="1000"/>
          </a:pPr>
          <a:r>
            <a:rPr lang="en-US" sz="900" b="0" i="0" u="none" strike="noStrike" baseline="0">
              <a:solidFill>
                <a:srgbClr val="000000"/>
              </a:solidFill>
              <a:latin typeface="Arial"/>
              <a:cs typeface="Arial"/>
            </a:rPr>
            <a:t>percentage of water supplied</a:t>
          </a:r>
        </a:p>
        <a:p>
          <a:pPr algn="ctr" rtl="0">
            <a:defRPr sz="1000"/>
          </a:pPr>
          <a:r>
            <a:rPr lang="en-US" sz="900" b="1" i="0" u="sng" strike="noStrike" baseline="0">
              <a:solidFill>
                <a:srgbClr val="000000"/>
              </a:solidFill>
              <a:latin typeface="Arial"/>
              <a:cs typeface="Arial"/>
            </a:rPr>
            <a:t>OR</a:t>
          </a:r>
        </a:p>
        <a:p>
          <a:pPr algn="ctr" rtl="0">
            <a:defRPr sz="1000"/>
          </a:pPr>
          <a:r>
            <a:rPr lang="en-US" sz="900" b="0" i="0" u="none" strike="noStrike" baseline="0">
              <a:solidFill>
                <a:srgbClr val="000000"/>
              </a:solidFill>
              <a:latin typeface="Arial"/>
              <a:cs typeface="Arial"/>
            </a:rPr>
            <a:t>value</a:t>
          </a:r>
        </a:p>
      </xdr:txBody>
    </xdr:sp>
    <xdr:clientData/>
  </xdr:twoCellAnchor>
  <xdr:twoCellAnchor>
    <xdr:from>
      <xdr:col>12</xdr:col>
      <xdr:colOff>419100</xdr:colOff>
      <xdr:row>34</xdr:row>
      <xdr:rowOff>83820</xdr:rowOff>
    </xdr:from>
    <xdr:to>
      <xdr:col>12</xdr:col>
      <xdr:colOff>419100</xdr:colOff>
      <xdr:row>36</xdr:row>
      <xdr:rowOff>144780</xdr:rowOff>
    </xdr:to>
    <xdr:sp macro="" textlink="">
      <xdr:nvSpPr>
        <xdr:cNvPr id="6043887" name="Line 227">
          <a:extLst>
            <a:ext uri="{FF2B5EF4-FFF2-40B4-BE49-F238E27FC236}">
              <a16:creationId xmlns:a16="http://schemas.microsoft.com/office/drawing/2014/main" id="{00000000-0008-0000-0100-0000EF385C00}"/>
            </a:ext>
          </a:extLst>
        </xdr:cNvPr>
        <xdr:cNvSpPr>
          <a:spLocks noChangeShapeType="1"/>
        </xdr:cNvSpPr>
      </xdr:nvSpPr>
      <xdr:spPr bwMode="auto">
        <a:xfrm>
          <a:off x="9006840" y="5013960"/>
          <a:ext cx="0" cy="312420"/>
        </a:xfrm>
        <a:prstGeom prst="line">
          <a:avLst/>
        </a:prstGeom>
        <a:noFill/>
        <a:ln w="12700" cap="rnd">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12</xdr:col>
      <xdr:colOff>419100</xdr:colOff>
      <xdr:row>34</xdr:row>
      <xdr:rowOff>60960</xdr:rowOff>
    </xdr:from>
    <xdr:to>
      <xdr:col>13</xdr:col>
      <xdr:colOff>114300</xdr:colOff>
      <xdr:row>34</xdr:row>
      <xdr:rowOff>60960</xdr:rowOff>
    </xdr:to>
    <xdr:sp macro="" textlink="">
      <xdr:nvSpPr>
        <xdr:cNvPr id="6043888" name="Line 228">
          <a:extLst>
            <a:ext uri="{FF2B5EF4-FFF2-40B4-BE49-F238E27FC236}">
              <a16:creationId xmlns:a16="http://schemas.microsoft.com/office/drawing/2014/main" id="{00000000-0008-0000-0100-0000F0385C00}"/>
            </a:ext>
          </a:extLst>
        </xdr:cNvPr>
        <xdr:cNvSpPr>
          <a:spLocks noChangeShapeType="1"/>
        </xdr:cNvSpPr>
      </xdr:nvSpPr>
      <xdr:spPr bwMode="auto">
        <a:xfrm>
          <a:off x="9006840" y="4991100"/>
          <a:ext cx="312420" cy="0"/>
        </a:xfrm>
        <a:prstGeom prst="line">
          <a:avLst/>
        </a:prstGeom>
        <a:noFill/>
        <a:ln w="1270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12</xdr:col>
      <xdr:colOff>175260</xdr:colOff>
      <xdr:row>29</xdr:row>
      <xdr:rowOff>68580</xdr:rowOff>
    </xdr:from>
    <xdr:to>
      <xdr:col>12</xdr:col>
      <xdr:colOff>342900</xdr:colOff>
      <xdr:row>29</xdr:row>
      <xdr:rowOff>68580</xdr:rowOff>
    </xdr:to>
    <xdr:sp macro="" textlink="">
      <xdr:nvSpPr>
        <xdr:cNvPr id="6043889" name="Line 234">
          <a:extLst>
            <a:ext uri="{FF2B5EF4-FFF2-40B4-BE49-F238E27FC236}">
              <a16:creationId xmlns:a16="http://schemas.microsoft.com/office/drawing/2014/main" id="{00000000-0008-0000-0100-0000F1385C00}"/>
            </a:ext>
          </a:extLst>
        </xdr:cNvPr>
        <xdr:cNvSpPr>
          <a:spLocks noChangeShapeType="1"/>
        </xdr:cNvSpPr>
      </xdr:nvSpPr>
      <xdr:spPr bwMode="auto">
        <a:xfrm flipV="1">
          <a:off x="8763000" y="4480560"/>
          <a:ext cx="167640" cy="0"/>
        </a:xfrm>
        <a:prstGeom prst="line">
          <a:avLst/>
        </a:prstGeom>
        <a:noFill/>
        <a:ln w="12700" cap="rnd">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12</xdr:col>
      <xdr:colOff>175260</xdr:colOff>
      <xdr:row>27</xdr:row>
      <xdr:rowOff>30480</xdr:rowOff>
    </xdr:from>
    <xdr:to>
      <xdr:col>12</xdr:col>
      <xdr:colOff>175260</xdr:colOff>
      <xdr:row>29</xdr:row>
      <xdr:rowOff>68580</xdr:rowOff>
    </xdr:to>
    <xdr:sp macro="" textlink="">
      <xdr:nvSpPr>
        <xdr:cNvPr id="6043890" name="Line 235">
          <a:extLst>
            <a:ext uri="{FF2B5EF4-FFF2-40B4-BE49-F238E27FC236}">
              <a16:creationId xmlns:a16="http://schemas.microsoft.com/office/drawing/2014/main" id="{00000000-0008-0000-0100-0000F2385C00}"/>
            </a:ext>
          </a:extLst>
        </xdr:cNvPr>
        <xdr:cNvSpPr>
          <a:spLocks noChangeShapeType="1"/>
        </xdr:cNvSpPr>
      </xdr:nvSpPr>
      <xdr:spPr bwMode="auto">
        <a:xfrm flipV="1">
          <a:off x="8763000" y="4229100"/>
          <a:ext cx="0" cy="251460"/>
        </a:xfrm>
        <a:prstGeom prst="line">
          <a:avLst/>
        </a:prstGeom>
        <a:noFill/>
        <a:ln w="12700" cap="rnd">
          <a:solidFill>
            <a:srgbClr val="000000"/>
          </a:solidFill>
          <a:prstDash val="sys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13</xdr:col>
      <xdr:colOff>441960</xdr:colOff>
      <xdr:row>21</xdr:row>
      <xdr:rowOff>19050</xdr:rowOff>
    </xdr:from>
    <xdr:to>
      <xdr:col>14</xdr:col>
      <xdr:colOff>112257</xdr:colOff>
      <xdr:row>22</xdr:row>
      <xdr:rowOff>547</xdr:rowOff>
    </xdr:to>
    <xdr:sp macro="" textlink="">
      <xdr:nvSpPr>
        <xdr:cNvPr id="9456" name="Text Box 240">
          <a:hlinkClick xmlns:r="http://schemas.openxmlformats.org/officeDocument/2006/relationships" r:id="rId18" tooltip="Defaults"/>
          <a:extLst>
            <a:ext uri="{FF2B5EF4-FFF2-40B4-BE49-F238E27FC236}">
              <a16:creationId xmlns:a16="http://schemas.microsoft.com/office/drawing/2014/main" id="{00000000-0008-0000-0100-0000F0240000}"/>
            </a:ext>
          </a:extLst>
        </xdr:cNvPr>
        <xdr:cNvSpPr txBox="1">
          <a:spLocks noChangeArrowheads="1"/>
        </xdr:cNvSpPr>
      </xdr:nvSpPr>
      <xdr:spPr bwMode="auto">
        <a:xfrm>
          <a:off x="8848725" y="3067050"/>
          <a:ext cx="219075" cy="142875"/>
        </a:xfrm>
        <a:prstGeom prst="rect">
          <a:avLst/>
        </a:prstGeom>
        <a:solidFill>
          <a:schemeClr val="accent1"/>
        </a:solidFill>
        <a:ln w="9525">
          <a:noFill/>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FFFFFF"/>
              </a:solidFill>
              <a:latin typeface="Arial"/>
              <a:cs typeface="Arial"/>
            </a:rPr>
            <a:t>?</a:t>
          </a:r>
        </a:p>
      </xdr:txBody>
    </xdr:sp>
    <xdr:clientData/>
  </xdr:twoCellAnchor>
  <xdr:twoCellAnchor>
    <xdr:from>
      <xdr:col>12</xdr:col>
      <xdr:colOff>403860</xdr:colOff>
      <xdr:row>21</xdr:row>
      <xdr:rowOff>19050</xdr:rowOff>
    </xdr:from>
    <xdr:to>
      <xdr:col>13</xdr:col>
      <xdr:colOff>430720</xdr:colOff>
      <xdr:row>22</xdr:row>
      <xdr:rowOff>9525</xdr:rowOff>
    </xdr:to>
    <xdr:sp macro="" textlink="">
      <xdr:nvSpPr>
        <xdr:cNvPr id="9457" name="Text Box 241">
          <a:extLst>
            <a:ext uri="{FF2B5EF4-FFF2-40B4-BE49-F238E27FC236}">
              <a16:creationId xmlns:a16="http://schemas.microsoft.com/office/drawing/2014/main" id="{00000000-0008-0000-0100-0000F1240000}"/>
            </a:ext>
          </a:extLst>
        </xdr:cNvPr>
        <xdr:cNvSpPr txBox="1">
          <a:spLocks noChangeArrowheads="1"/>
        </xdr:cNvSpPr>
      </xdr:nvSpPr>
      <xdr:spPr bwMode="auto">
        <a:xfrm>
          <a:off x="8210550" y="3067050"/>
          <a:ext cx="628650" cy="161925"/>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US" sz="900" b="0" i="0" u="none" strike="noStrike" baseline="0">
              <a:solidFill>
                <a:srgbClr val="000000"/>
              </a:solidFill>
              <a:latin typeface="Arial"/>
              <a:cs typeface="Arial"/>
            </a:rPr>
            <a:t>Click here: </a:t>
          </a:r>
        </a:p>
        <a:p>
          <a:pPr algn="l" rtl="0">
            <a:defRPr sz="1000"/>
          </a:pPr>
          <a:endParaRPr lang="en-US" sz="900" b="0" i="0" u="none" strike="noStrike" baseline="0">
            <a:solidFill>
              <a:srgbClr val="000000"/>
            </a:solidFill>
            <a:latin typeface="Arial"/>
            <a:cs typeface="Arial"/>
          </a:endParaRPr>
        </a:p>
      </xdr:txBody>
    </xdr:sp>
    <xdr:clientData/>
  </xdr:twoCellAnchor>
  <xdr:twoCellAnchor>
    <xdr:from>
      <xdr:col>12</xdr:col>
      <xdr:colOff>405765</xdr:colOff>
      <xdr:row>22</xdr:row>
      <xdr:rowOff>0</xdr:rowOff>
    </xdr:from>
    <xdr:to>
      <xdr:col>14</xdr:col>
      <xdr:colOff>403868</xdr:colOff>
      <xdr:row>23</xdr:row>
      <xdr:rowOff>142904</xdr:rowOff>
    </xdr:to>
    <xdr:sp macro="" textlink="">
      <xdr:nvSpPr>
        <xdr:cNvPr id="9459" name="Text Box 243">
          <a:extLst>
            <a:ext uri="{FF2B5EF4-FFF2-40B4-BE49-F238E27FC236}">
              <a16:creationId xmlns:a16="http://schemas.microsoft.com/office/drawing/2014/main" id="{00000000-0008-0000-0100-0000F3240000}"/>
            </a:ext>
          </a:extLst>
        </xdr:cNvPr>
        <xdr:cNvSpPr txBox="1">
          <a:spLocks noChangeArrowheads="1"/>
        </xdr:cNvSpPr>
      </xdr:nvSpPr>
      <xdr:spPr bwMode="auto">
        <a:xfrm>
          <a:off x="8220075" y="3209925"/>
          <a:ext cx="1190625" cy="333375"/>
        </a:xfrm>
        <a:prstGeom prst="rect">
          <a:avLst/>
        </a:prstGeom>
        <a:noFill/>
        <a:ln w="9525">
          <a:noFill/>
          <a:miter lim="800000"/>
          <a:headEnd/>
          <a:tailEnd/>
        </a:ln>
      </xdr:spPr>
      <xdr:txBody>
        <a:bodyPr vertOverflow="clip" wrap="square" lIns="27432" tIns="22860" rIns="0" bIns="0" anchor="t" upright="1"/>
        <a:lstStyle/>
        <a:p>
          <a:pPr algn="l" rtl="0">
            <a:defRPr sz="1000"/>
          </a:pPr>
          <a:r>
            <a:rPr lang="en-US" sz="900" b="0" i="0" u="none" strike="noStrike" baseline="0">
              <a:solidFill>
                <a:srgbClr val="000000"/>
              </a:solidFill>
              <a:latin typeface="Arial"/>
              <a:cs typeface="Arial"/>
            </a:rPr>
            <a:t>for help using option buttons below</a:t>
          </a:r>
        </a:p>
      </xdr:txBody>
    </xdr:sp>
    <xdr:clientData/>
  </xdr:twoCellAnchor>
  <xdr:twoCellAnchor>
    <xdr:from>
      <xdr:col>3</xdr:col>
      <xdr:colOff>274869</xdr:colOff>
      <xdr:row>51</xdr:row>
      <xdr:rowOff>13446</xdr:rowOff>
    </xdr:from>
    <xdr:to>
      <xdr:col>3</xdr:col>
      <xdr:colOff>494325</xdr:colOff>
      <xdr:row>51</xdr:row>
      <xdr:rowOff>155317</xdr:rowOff>
    </xdr:to>
    <xdr:sp macro="" textlink="">
      <xdr:nvSpPr>
        <xdr:cNvPr id="9704" name="Text Box 488">
          <a:hlinkClick xmlns:r="http://schemas.openxmlformats.org/officeDocument/2006/relationships" r:id="rId19"/>
          <a:extLst>
            <a:ext uri="{FF2B5EF4-FFF2-40B4-BE49-F238E27FC236}">
              <a16:creationId xmlns:a16="http://schemas.microsoft.com/office/drawing/2014/main" id="{00000000-0008-0000-0100-0000E8250000}"/>
            </a:ext>
          </a:extLst>
        </xdr:cNvPr>
        <xdr:cNvSpPr txBox="1">
          <a:spLocks noChangeArrowheads="1"/>
        </xdr:cNvSpPr>
      </xdr:nvSpPr>
      <xdr:spPr bwMode="auto">
        <a:xfrm>
          <a:off x="4422950" y="6768352"/>
          <a:ext cx="219456" cy="146304"/>
        </a:xfrm>
        <a:prstGeom prst="rect">
          <a:avLst/>
        </a:prstGeom>
        <a:solidFill>
          <a:schemeClr val="accent1"/>
        </a:solidFill>
        <a:ln w="9525">
          <a:noFill/>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FFFFFF"/>
              </a:solidFill>
              <a:latin typeface="Arial"/>
              <a:cs typeface="Arial"/>
            </a:rPr>
            <a:t>?</a:t>
          </a:r>
        </a:p>
      </xdr:txBody>
    </xdr:sp>
    <xdr:clientData/>
  </xdr:twoCellAnchor>
  <xdr:twoCellAnchor>
    <xdr:from>
      <xdr:col>3</xdr:col>
      <xdr:colOff>270711</xdr:colOff>
      <xdr:row>29</xdr:row>
      <xdr:rowOff>28575</xdr:rowOff>
    </xdr:from>
    <xdr:to>
      <xdr:col>3</xdr:col>
      <xdr:colOff>490167</xdr:colOff>
      <xdr:row>29</xdr:row>
      <xdr:rowOff>174879</xdr:rowOff>
    </xdr:to>
    <xdr:sp macro="" textlink="">
      <xdr:nvSpPr>
        <xdr:cNvPr id="9705" name="Text Box 489">
          <a:hlinkClick xmlns:r="http://schemas.openxmlformats.org/officeDocument/2006/relationships" r:id="rId20"/>
          <a:extLst>
            <a:ext uri="{FF2B5EF4-FFF2-40B4-BE49-F238E27FC236}">
              <a16:creationId xmlns:a16="http://schemas.microsoft.com/office/drawing/2014/main" id="{00000000-0008-0000-0100-0000E9250000}"/>
            </a:ext>
          </a:extLst>
        </xdr:cNvPr>
        <xdr:cNvSpPr txBox="1">
          <a:spLocks noChangeArrowheads="1"/>
        </xdr:cNvSpPr>
      </xdr:nvSpPr>
      <xdr:spPr bwMode="auto">
        <a:xfrm>
          <a:off x="4418792" y="4295775"/>
          <a:ext cx="219456" cy="146304"/>
        </a:xfrm>
        <a:prstGeom prst="rect">
          <a:avLst/>
        </a:prstGeom>
        <a:solidFill>
          <a:schemeClr val="accent1"/>
        </a:solidFill>
        <a:ln w="9525">
          <a:noFill/>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FFFFFF"/>
              </a:solidFill>
              <a:latin typeface="Arial"/>
              <a:cs typeface="Arial"/>
            </a:rPr>
            <a:t>?</a:t>
          </a:r>
        </a:p>
      </xdr:txBody>
    </xdr:sp>
    <xdr:clientData/>
  </xdr:twoCellAnchor>
  <xdr:twoCellAnchor>
    <xdr:from>
      <xdr:col>3</xdr:col>
      <xdr:colOff>283833</xdr:colOff>
      <xdr:row>57</xdr:row>
      <xdr:rowOff>0</xdr:rowOff>
    </xdr:from>
    <xdr:to>
      <xdr:col>3</xdr:col>
      <xdr:colOff>503289</xdr:colOff>
      <xdr:row>57</xdr:row>
      <xdr:rowOff>146304</xdr:rowOff>
    </xdr:to>
    <xdr:sp macro="" textlink="">
      <xdr:nvSpPr>
        <xdr:cNvPr id="9706" name="Text Box 490">
          <a:hlinkClick xmlns:r="http://schemas.openxmlformats.org/officeDocument/2006/relationships" r:id="rId21"/>
          <a:extLst>
            <a:ext uri="{FF2B5EF4-FFF2-40B4-BE49-F238E27FC236}">
              <a16:creationId xmlns:a16="http://schemas.microsoft.com/office/drawing/2014/main" id="{00000000-0008-0000-0100-0000EA250000}"/>
            </a:ext>
          </a:extLst>
        </xdr:cNvPr>
        <xdr:cNvSpPr txBox="1">
          <a:spLocks noChangeArrowheads="1"/>
        </xdr:cNvSpPr>
      </xdr:nvSpPr>
      <xdr:spPr bwMode="auto">
        <a:xfrm>
          <a:off x="4431914" y="7494494"/>
          <a:ext cx="219456" cy="146304"/>
        </a:xfrm>
        <a:prstGeom prst="rect">
          <a:avLst/>
        </a:prstGeom>
        <a:solidFill>
          <a:schemeClr val="accent1"/>
        </a:solidFill>
        <a:ln w="9525">
          <a:noFill/>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FFFFFF"/>
              </a:solidFill>
              <a:latin typeface="Arial"/>
              <a:cs typeface="Arial"/>
            </a:rPr>
            <a:t>?</a:t>
          </a:r>
        </a:p>
      </xdr:txBody>
    </xdr:sp>
    <xdr:clientData/>
  </xdr:twoCellAnchor>
  <xdr:twoCellAnchor>
    <xdr:from>
      <xdr:col>3</xdr:col>
      <xdr:colOff>272964</xdr:colOff>
      <xdr:row>46</xdr:row>
      <xdr:rowOff>22077</xdr:rowOff>
    </xdr:from>
    <xdr:to>
      <xdr:col>3</xdr:col>
      <xdr:colOff>492420</xdr:colOff>
      <xdr:row>46</xdr:row>
      <xdr:rowOff>152981</xdr:rowOff>
    </xdr:to>
    <xdr:sp macro="" textlink="">
      <xdr:nvSpPr>
        <xdr:cNvPr id="9710" name="Text Box 494">
          <a:hlinkClick xmlns:r="http://schemas.openxmlformats.org/officeDocument/2006/relationships" r:id="rId22"/>
          <a:extLst>
            <a:ext uri="{FF2B5EF4-FFF2-40B4-BE49-F238E27FC236}">
              <a16:creationId xmlns:a16="http://schemas.microsoft.com/office/drawing/2014/main" id="{00000000-0008-0000-0100-0000EE250000}"/>
            </a:ext>
          </a:extLst>
        </xdr:cNvPr>
        <xdr:cNvSpPr txBox="1">
          <a:spLocks noChangeArrowheads="1"/>
        </xdr:cNvSpPr>
      </xdr:nvSpPr>
      <xdr:spPr bwMode="auto">
        <a:xfrm>
          <a:off x="4421045" y="6232713"/>
          <a:ext cx="219456" cy="146304"/>
        </a:xfrm>
        <a:prstGeom prst="rect">
          <a:avLst/>
        </a:prstGeom>
        <a:solidFill>
          <a:schemeClr val="accent1"/>
        </a:solidFill>
        <a:ln w="9525">
          <a:noFill/>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FFFFFF"/>
              </a:solidFill>
              <a:latin typeface="Arial"/>
              <a:cs typeface="Arial"/>
            </a:rPr>
            <a:t>?</a:t>
          </a:r>
        </a:p>
      </xdr:txBody>
    </xdr:sp>
    <xdr:clientData/>
  </xdr:twoCellAnchor>
  <mc:AlternateContent xmlns:mc="http://schemas.openxmlformats.org/markup-compatibility/2006">
    <mc:Choice xmlns:a14="http://schemas.microsoft.com/office/drawing/2010/main" Requires="a14">
      <xdr:twoCellAnchor>
        <xdr:from>
          <xdr:col>12</xdr:col>
          <xdr:colOff>7620</xdr:colOff>
          <xdr:row>37</xdr:row>
          <xdr:rowOff>0</xdr:rowOff>
        </xdr:from>
        <xdr:to>
          <xdr:col>12</xdr:col>
          <xdr:colOff>609600</xdr:colOff>
          <xdr:row>38</xdr:row>
          <xdr:rowOff>0</xdr:rowOff>
        </xdr:to>
        <xdr:grpSp>
          <xdr:nvGrpSpPr>
            <xdr:cNvPr id="6043898" name="Group 189">
              <a:extLst>
                <a:ext uri="{FF2B5EF4-FFF2-40B4-BE49-F238E27FC236}">
                  <a16:creationId xmlns:a16="http://schemas.microsoft.com/office/drawing/2014/main" id="{00000000-0008-0000-0100-0000FA385C00}"/>
                </a:ext>
              </a:extLst>
            </xdr:cNvPr>
            <xdr:cNvGrpSpPr>
              <a:grpSpLocks/>
            </xdr:cNvGrpSpPr>
          </xdr:nvGrpSpPr>
          <xdr:grpSpPr bwMode="auto">
            <a:xfrm>
              <a:off x="8361045" y="5343525"/>
              <a:ext cx="592455" cy="190500"/>
              <a:chOff x="1005" y="345"/>
              <a:chExt cx="64" cy="29"/>
            </a:xfrm>
          </xdr:grpSpPr>
          <xdr:sp macro="" textlink="">
            <xdr:nvSpPr>
              <xdr:cNvPr id="9399" name="Group Box 183" hidden="1">
                <a:extLst>
                  <a:ext uri="{63B3BB69-23CF-44E3-9099-C40C66FF867C}">
                    <a14:compatExt spid="_x0000_s9399"/>
                  </a:ext>
                  <a:ext uri="{FF2B5EF4-FFF2-40B4-BE49-F238E27FC236}">
                    <a16:creationId xmlns:a16="http://schemas.microsoft.com/office/drawing/2014/main" id="{00000000-0008-0000-0100-0000B7240000}"/>
                  </a:ext>
                </a:extLst>
              </xdr:cNvPr>
              <xdr:cNvSpPr/>
            </xdr:nvSpPr>
            <xdr:spPr bwMode="auto">
              <a:xfrm>
                <a:off x="1005" y="345"/>
                <a:ext cx="64" cy="29"/>
              </a:xfrm>
              <a:prstGeom prst="rect">
                <a:avLst/>
              </a:prstGeom>
              <a:noFill/>
              <a:ln w="12700">
                <a:miter lim="800000"/>
                <a:headEnd/>
                <a:tailEnd/>
              </a:ln>
              <a:extLst>
                <a:ext uri="{909E8E84-426E-40DD-AFC4-6F175D3DCCD1}">
                  <a14:hiddenFill>
                    <a:noFill/>
                  </a14:hiddenFill>
                </a:ext>
              </a:extLst>
            </xdr:spPr>
          </xdr:sp>
          <xdr:sp macro="" textlink="">
            <xdr:nvSpPr>
              <xdr:cNvPr id="9401" name="Option Button 185" hidden="1">
                <a:extLst>
                  <a:ext uri="{63B3BB69-23CF-44E3-9099-C40C66FF867C}">
                    <a14:compatExt spid="_x0000_s9401"/>
                  </a:ext>
                  <a:ext uri="{FF2B5EF4-FFF2-40B4-BE49-F238E27FC236}">
                    <a16:creationId xmlns:a16="http://schemas.microsoft.com/office/drawing/2014/main" id="{00000000-0008-0000-0100-0000B9240000}"/>
                  </a:ext>
                </a:extLst>
              </xdr:cNvPr>
              <xdr:cNvSpPr/>
            </xdr:nvSpPr>
            <xdr:spPr bwMode="auto">
              <a:xfrm>
                <a:off x="1010" y="349"/>
                <a:ext cx="32" cy="23"/>
              </a:xfrm>
              <a:prstGeom prst="rect">
                <a:avLst/>
              </a:prstGeom>
              <a:noFill/>
              <a:ln>
                <a:noFill/>
              </a:ln>
              <a:extLst>
                <a:ext uri="{909E8E84-426E-40DD-AFC4-6F175D3DCCD1}">
                  <a14:hiddenFill>
                    <a:solidFill>
                      <a:srgbClr val="3366FF" mc:Ignorable="a14" a14:legacySpreadsheetColorIndex="48"/>
                    </a:solidFill>
                  </a14:hiddenFill>
                </a:ext>
                <a:ext uri="{91240B29-F687-4F45-9708-019B960494DF}">
                  <a14:hiddenLine w="12700">
                    <a:solidFill>
                      <a:srgbClr val="000000" mc:Ignorable="a14" a14:legacySpreadsheetColorIndex="64"/>
                    </a:solidFill>
                    <a:miter lim="800000"/>
                    <a:headEnd/>
                    <a:tailEnd/>
                  </a14:hiddenLine>
                </a:ext>
              </a:extLst>
            </xdr:spPr>
          </xdr:sp>
          <xdr:sp macro="" textlink="">
            <xdr:nvSpPr>
              <xdr:cNvPr id="9402" name="Option Button 186" hidden="1">
                <a:extLst>
                  <a:ext uri="{63B3BB69-23CF-44E3-9099-C40C66FF867C}">
                    <a14:compatExt spid="_x0000_s9402"/>
                  </a:ext>
                  <a:ext uri="{FF2B5EF4-FFF2-40B4-BE49-F238E27FC236}">
                    <a16:creationId xmlns:a16="http://schemas.microsoft.com/office/drawing/2014/main" id="{00000000-0008-0000-0100-0000BA240000}"/>
                  </a:ext>
                </a:extLst>
              </xdr:cNvPr>
              <xdr:cNvSpPr/>
            </xdr:nvSpPr>
            <xdr:spPr bwMode="auto">
              <a:xfrm>
                <a:off x="1037" y="349"/>
                <a:ext cx="32" cy="23"/>
              </a:xfrm>
              <a:prstGeom prst="rect">
                <a:avLst/>
              </a:prstGeom>
              <a:noFill/>
              <a:ln>
                <a:noFill/>
              </a:ln>
              <a:extLst>
                <a:ext uri="{909E8E84-426E-40DD-AFC4-6F175D3DCCD1}">
                  <a14:hiddenFill>
                    <a:solidFill>
                      <a:srgbClr val="3366FF" mc:Ignorable="a14" a14:legacySpreadsheetColorIndex="48"/>
                    </a:solidFill>
                  </a14:hiddenFill>
                </a:ext>
                <a:ext uri="{91240B29-F687-4F45-9708-019B960494DF}">
                  <a14:hiddenLine w="12700">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12</xdr:col>
          <xdr:colOff>0</xdr:colOff>
          <xdr:row>40</xdr:row>
          <xdr:rowOff>22860</xdr:rowOff>
        </xdr:from>
        <xdr:to>
          <xdr:col>13</xdr:col>
          <xdr:colOff>0</xdr:colOff>
          <xdr:row>41</xdr:row>
          <xdr:rowOff>182880</xdr:rowOff>
        </xdr:to>
        <xdr:grpSp>
          <xdr:nvGrpSpPr>
            <xdr:cNvPr id="6043899" name="Group 198">
              <a:extLst>
                <a:ext uri="{FF2B5EF4-FFF2-40B4-BE49-F238E27FC236}">
                  <a16:creationId xmlns:a16="http://schemas.microsoft.com/office/drawing/2014/main" id="{00000000-0008-0000-0100-0000FB385C00}"/>
                </a:ext>
              </a:extLst>
            </xdr:cNvPr>
            <xdr:cNvGrpSpPr>
              <a:grpSpLocks/>
            </xdr:cNvGrpSpPr>
          </xdr:nvGrpSpPr>
          <xdr:grpSpPr bwMode="auto">
            <a:xfrm>
              <a:off x="8353438" y="5775960"/>
              <a:ext cx="600076" cy="188595"/>
              <a:chOff x="762" y="543"/>
              <a:chExt cx="61" cy="29"/>
            </a:xfrm>
          </xdr:grpSpPr>
          <xdr:sp macro="" textlink="">
            <xdr:nvSpPr>
              <xdr:cNvPr id="9411" name="Group Box 195" hidden="1">
                <a:extLst>
                  <a:ext uri="{63B3BB69-23CF-44E3-9099-C40C66FF867C}">
                    <a14:compatExt spid="_x0000_s9411"/>
                  </a:ext>
                  <a:ext uri="{FF2B5EF4-FFF2-40B4-BE49-F238E27FC236}">
                    <a16:creationId xmlns:a16="http://schemas.microsoft.com/office/drawing/2014/main" id="{00000000-0008-0000-0100-0000C3240000}"/>
                  </a:ext>
                </a:extLst>
              </xdr:cNvPr>
              <xdr:cNvSpPr/>
            </xdr:nvSpPr>
            <xdr:spPr bwMode="auto">
              <a:xfrm>
                <a:off x="762" y="543"/>
                <a:ext cx="61" cy="29"/>
              </a:xfrm>
              <a:prstGeom prst="rect">
                <a:avLst/>
              </a:prstGeom>
              <a:noFill/>
              <a:ln w="12700">
                <a:miter lim="800000"/>
                <a:headEnd/>
                <a:tailEnd/>
              </a:ln>
              <a:extLst>
                <a:ext uri="{909E8E84-426E-40DD-AFC4-6F175D3DCCD1}">
                  <a14:hiddenFill>
                    <a:noFill/>
                  </a14:hiddenFill>
                </a:ext>
              </a:extLst>
            </xdr:spPr>
          </xdr:sp>
          <xdr:sp macro="" textlink="">
            <xdr:nvSpPr>
              <xdr:cNvPr id="9412" name="Option Button 196" hidden="1">
                <a:extLst>
                  <a:ext uri="{63B3BB69-23CF-44E3-9099-C40C66FF867C}">
                    <a14:compatExt spid="_x0000_s9412"/>
                  </a:ext>
                  <a:ext uri="{FF2B5EF4-FFF2-40B4-BE49-F238E27FC236}">
                    <a16:creationId xmlns:a16="http://schemas.microsoft.com/office/drawing/2014/main" id="{00000000-0008-0000-0100-0000C4240000}"/>
                  </a:ext>
                </a:extLst>
              </xdr:cNvPr>
              <xdr:cNvSpPr/>
            </xdr:nvSpPr>
            <xdr:spPr bwMode="auto">
              <a:xfrm>
                <a:off x="767" y="547"/>
                <a:ext cx="30" cy="23"/>
              </a:xfrm>
              <a:prstGeom prst="rect">
                <a:avLst/>
              </a:prstGeom>
              <a:noFill/>
              <a:ln>
                <a:noFill/>
              </a:ln>
              <a:extLst>
                <a:ext uri="{909E8E84-426E-40DD-AFC4-6F175D3DCCD1}">
                  <a14:hiddenFill>
                    <a:solidFill>
                      <a:srgbClr val="3366FF" mc:Ignorable="a14" a14:legacySpreadsheetColorIndex="48"/>
                    </a:solidFill>
                  </a14:hiddenFill>
                </a:ext>
                <a:ext uri="{91240B29-F687-4F45-9708-019B960494DF}">
                  <a14:hiddenLine w="12700">
                    <a:solidFill>
                      <a:srgbClr val="000000" mc:Ignorable="a14" a14:legacySpreadsheetColorIndex="64"/>
                    </a:solidFill>
                    <a:miter lim="800000"/>
                    <a:headEnd/>
                    <a:tailEnd/>
                  </a14:hiddenLine>
                </a:ext>
              </a:extLst>
            </xdr:spPr>
          </xdr:sp>
          <xdr:sp macro="" textlink="">
            <xdr:nvSpPr>
              <xdr:cNvPr id="9413" name="Option Button 197" hidden="1">
                <a:extLst>
                  <a:ext uri="{63B3BB69-23CF-44E3-9099-C40C66FF867C}">
                    <a14:compatExt spid="_x0000_s9413"/>
                  </a:ext>
                  <a:ext uri="{FF2B5EF4-FFF2-40B4-BE49-F238E27FC236}">
                    <a16:creationId xmlns:a16="http://schemas.microsoft.com/office/drawing/2014/main" id="{00000000-0008-0000-0100-0000C5240000}"/>
                  </a:ext>
                </a:extLst>
              </xdr:cNvPr>
              <xdr:cNvSpPr/>
            </xdr:nvSpPr>
            <xdr:spPr bwMode="auto">
              <a:xfrm>
                <a:off x="793" y="547"/>
                <a:ext cx="30" cy="23"/>
              </a:xfrm>
              <a:prstGeom prst="rect">
                <a:avLst/>
              </a:prstGeom>
              <a:noFill/>
              <a:ln>
                <a:noFill/>
              </a:ln>
              <a:extLst>
                <a:ext uri="{909E8E84-426E-40DD-AFC4-6F175D3DCCD1}">
                  <a14:hiddenFill>
                    <a:solidFill>
                      <a:srgbClr val="3366FF" mc:Ignorable="a14" a14:legacySpreadsheetColorIndex="48"/>
                    </a:solidFill>
                  </a14:hiddenFill>
                </a:ext>
                <a:ext uri="{91240B29-F687-4F45-9708-019B960494DF}">
                  <a14:hiddenLine w="12700">
                    <a:solidFill>
                      <a:srgbClr val="000000" mc:Ignorable="a14" a14:legacySpreadsheetColorIndex="64"/>
                    </a:solidFill>
                    <a:miter lim="800000"/>
                    <a:headEnd/>
                    <a:tailEnd/>
                  </a14:hiddenLine>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12</xdr:col>
          <xdr:colOff>7620</xdr:colOff>
          <xdr:row>25</xdr:row>
          <xdr:rowOff>0</xdr:rowOff>
        </xdr:from>
        <xdr:to>
          <xdr:col>12</xdr:col>
          <xdr:colOff>609600</xdr:colOff>
          <xdr:row>26</xdr:row>
          <xdr:rowOff>0</xdr:rowOff>
        </xdr:to>
        <xdr:grpSp>
          <xdr:nvGrpSpPr>
            <xdr:cNvPr id="6043900" name="Group 203">
              <a:extLst>
                <a:ext uri="{FF2B5EF4-FFF2-40B4-BE49-F238E27FC236}">
                  <a16:creationId xmlns:a16="http://schemas.microsoft.com/office/drawing/2014/main" id="{00000000-0008-0000-0100-0000FC385C00}"/>
                </a:ext>
              </a:extLst>
            </xdr:cNvPr>
            <xdr:cNvGrpSpPr>
              <a:grpSpLocks noChangeAspect="1"/>
            </xdr:cNvGrpSpPr>
          </xdr:nvGrpSpPr>
          <xdr:grpSpPr bwMode="auto">
            <a:xfrm>
              <a:off x="8361045" y="3962400"/>
              <a:ext cx="592455" cy="190500"/>
              <a:chOff x="758" y="403"/>
              <a:chExt cx="61" cy="29"/>
            </a:xfrm>
          </xdr:grpSpPr>
          <xdr:sp macro="" textlink="">
            <xdr:nvSpPr>
              <xdr:cNvPr id="9416" name="Group Box 200" hidden="1">
                <a:extLst>
                  <a:ext uri="{63B3BB69-23CF-44E3-9099-C40C66FF867C}">
                    <a14:compatExt spid="_x0000_s9416"/>
                  </a:ext>
                  <a:ext uri="{FF2B5EF4-FFF2-40B4-BE49-F238E27FC236}">
                    <a16:creationId xmlns:a16="http://schemas.microsoft.com/office/drawing/2014/main" id="{00000000-0008-0000-0100-0000C8240000}"/>
                  </a:ext>
                </a:extLst>
              </xdr:cNvPr>
              <xdr:cNvSpPr/>
            </xdr:nvSpPr>
            <xdr:spPr bwMode="auto">
              <a:xfrm>
                <a:off x="758" y="403"/>
                <a:ext cx="61" cy="29"/>
              </a:xfrm>
              <a:prstGeom prst="rect">
                <a:avLst/>
              </a:prstGeom>
              <a:noFill/>
              <a:ln w="12700">
                <a:miter lim="800000"/>
                <a:headEnd/>
                <a:tailEnd/>
              </a:ln>
              <a:extLst>
                <a:ext uri="{909E8E84-426E-40DD-AFC4-6F175D3DCCD1}">
                  <a14:hiddenFill>
                    <a:noFill/>
                  </a14:hiddenFill>
                </a:ext>
              </a:extLst>
            </xdr:spPr>
          </xdr:sp>
          <xdr:sp macro="" textlink="">
            <xdr:nvSpPr>
              <xdr:cNvPr id="9417" name="Option Button 201" hidden="1">
                <a:extLst>
                  <a:ext uri="{63B3BB69-23CF-44E3-9099-C40C66FF867C}">
                    <a14:compatExt spid="_x0000_s9417"/>
                  </a:ext>
                  <a:ext uri="{FF2B5EF4-FFF2-40B4-BE49-F238E27FC236}">
                    <a16:creationId xmlns:a16="http://schemas.microsoft.com/office/drawing/2014/main" id="{00000000-0008-0000-0100-0000C9240000}"/>
                  </a:ext>
                </a:extLst>
              </xdr:cNvPr>
              <xdr:cNvSpPr/>
            </xdr:nvSpPr>
            <xdr:spPr bwMode="auto">
              <a:xfrm>
                <a:off x="763" y="407"/>
                <a:ext cx="30" cy="23"/>
              </a:xfrm>
              <a:prstGeom prst="rect">
                <a:avLst/>
              </a:prstGeom>
              <a:noFill/>
              <a:ln w="12700">
                <a:solidFill>
                  <a:srgbClr val="FFFFFF" mc:Ignorable="a14" a14:legacySpreadsheetColorIndex="9"/>
                </a:solidFill>
                <a:miter lim="800000"/>
                <a:headEnd/>
                <a:tailEnd/>
              </a:ln>
              <a:extLst>
                <a:ext uri="{909E8E84-426E-40DD-AFC4-6F175D3DCCD1}">
                  <a14:hiddenFill>
                    <a:solidFill>
                      <a:srgbClr val="3366FF" mc:Ignorable="a14" a14:legacySpreadsheetColorIndex="48"/>
                    </a:solidFill>
                  </a14:hiddenFill>
                </a:ext>
              </a:extLst>
            </xdr:spPr>
          </xdr:sp>
          <xdr:sp macro="" textlink="">
            <xdr:nvSpPr>
              <xdr:cNvPr id="9418" name="Option Button 202" hidden="1">
                <a:extLst>
                  <a:ext uri="{63B3BB69-23CF-44E3-9099-C40C66FF867C}">
                    <a14:compatExt spid="_x0000_s9418"/>
                  </a:ext>
                  <a:ext uri="{FF2B5EF4-FFF2-40B4-BE49-F238E27FC236}">
                    <a16:creationId xmlns:a16="http://schemas.microsoft.com/office/drawing/2014/main" id="{00000000-0008-0000-0100-0000CA240000}"/>
                  </a:ext>
                </a:extLst>
              </xdr:cNvPr>
              <xdr:cNvSpPr/>
            </xdr:nvSpPr>
            <xdr:spPr bwMode="auto">
              <a:xfrm>
                <a:off x="789" y="407"/>
                <a:ext cx="30" cy="23"/>
              </a:xfrm>
              <a:prstGeom prst="rect">
                <a:avLst/>
              </a:prstGeom>
              <a:noFill/>
              <a:ln w="12700">
                <a:solidFill>
                  <a:srgbClr val="FFFFFF" mc:Ignorable="a14" a14:legacySpreadsheetColorIndex="9"/>
                </a:solidFill>
                <a:miter lim="800000"/>
                <a:headEnd/>
                <a:tailEnd/>
              </a:ln>
              <a:extLst>
                <a:ext uri="{909E8E84-426E-40DD-AFC4-6F175D3DCCD1}">
                  <a14:hiddenFill>
                    <a:solidFill>
                      <a:srgbClr val="3366FF" mc:Ignorable="a14" a14:legacySpreadsheetColorIndex="48"/>
                    </a:solidFill>
                  </a14:hiddenFill>
                </a:ext>
              </a:extLst>
            </xdr:spPr>
          </xdr:sp>
        </xdr:grpSp>
        <xdr:clientData/>
      </xdr:twoCellAnchor>
    </mc:Choice>
    <mc:Fallback/>
  </mc:AlternateContent>
  <mc:AlternateContent xmlns:mc="http://schemas.openxmlformats.org/markup-compatibility/2006">
    <mc:Choice xmlns:a14="http://schemas.microsoft.com/office/drawing/2010/main" Requires="a14">
      <xdr:twoCellAnchor>
        <xdr:from>
          <xdr:col>12</xdr:col>
          <xdr:colOff>7620</xdr:colOff>
          <xdr:row>14</xdr:row>
          <xdr:rowOff>0</xdr:rowOff>
        </xdr:from>
        <xdr:to>
          <xdr:col>12</xdr:col>
          <xdr:colOff>609600</xdr:colOff>
          <xdr:row>15</xdr:row>
          <xdr:rowOff>0</xdr:rowOff>
        </xdr:to>
        <xdr:sp macro="" textlink="">
          <xdr:nvSpPr>
            <xdr:cNvPr id="10118" name="Group Box 902" hidden="1">
              <a:extLst>
                <a:ext uri="{63B3BB69-23CF-44E3-9099-C40C66FF867C}">
                  <a14:compatExt spid="_x0000_s10118"/>
                </a:ext>
                <a:ext uri="{FF2B5EF4-FFF2-40B4-BE49-F238E27FC236}">
                  <a16:creationId xmlns:a16="http://schemas.microsoft.com/office/drawing/2014/main" id="{00000000-0008-0000-0100-000086270000}"/>
                </a:ext>
              </a:extLst>
            </xdr:cNvPr>
            <xdr:cNvSpPr/>
          </xdr:nvSpPr>
          <xdr:spPr bwMode="auto">
            <a:xfrm>
              <a:off x="0" y="0"/>
              <a:ext cx="0" cy="0"/>
            </a:xfrm>
            <a:prstGeom prst="rect">
              <a:avLst/>
            </a:prstGeom>
            <a:noFill/>
            <a:ln w="12700">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45720</xdr:colOff>
          <xdr:row>14</xdr:row>
          <xdr:rowOff>22860</xdr:rowOff>
        </xdr:from>
        <xdr:to>
          <xdr:col>12</xdr:col>
          <xdr:colOff>342900</xdr:colOff>
          <xdr:row>14</xdr:row>
          <xdr:rowOff>160020</xdr:rowOff>
        </xdr:to>
        <xdr:sp macro="" textlink="">
          <xdr:nvSpPr>
            <xdr:cNvPr id="10119" name="Option Button 903" hidden="1">
              <a:extLst>
                <a:ext uri="{63B3BB69-23CF-44E3-9099-C40C66FF867C}">
                  <a14:compatExt spid="_x0000_s10119"/>
                </a:ext>
                <a:ext uri="{FF2B5EF4-FFF2-40B4-BE49-F238E27FC236}">
                  <a16:creationId xmlns:a16="http://schemas.microsoft.com/office/drawing/2014/main" id="{00000000-0008-0000-0100-000087270000}"/>
                </a:ext>
              </a:extLst>
            </xdr:cNvPr>
            <xdr:cNvSpPr/>
          </xdr:nvSpPr>
          <xdr:spPr bwMode="auto">
            <a:xfrm>
              <a:off x="0" y="0"/>
              <a:ext cx="0" cy="0"/>
            </a:xfrm>
            <a:prstGeom prst="rect">
              <a:avLst/>
            </a:prstGeom>
            <a:noFill/>
            <a:ln w="12700">
              <a:solidFill>
                <a:srgbClr val="FFFFFF" mc:Ignorable="a14" a14:legacySpreadsheetColorIndex="9"/>
              </a:solidFill>
              <a:miter lim="800000"/>
              <a:headEnd/>
              <a:tailEnd/>
            </a:ln>
            <a:extLst>
              <a:ext uri="{909E8E84-426E-40DD-AFC4-6F175D3DCCD1}">
                <a14:hiddenFill>
                  <a:solidFill>
                    <a:srgbClr val="3366FF" mc:Ignorable="a14" a14:legacySpreadsheetColorIndex="48"/>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312420</xdr:colOff>
          <xdr:row>14</xdr:row>
          <xdr:rowOff>22860</xdr:rowOff>
        </xdr:from>
        <xdr:to>
          <xdr:col>12</xdr:col>
          <xdr:colOff>609600</xdr:colOff>
          <xdr:row>14</xdr:row>
          <xdr:rowOff>160020</xdr:rowOff>
        </xdr:to>
        <xdr:sp macro="" textlink="">
          <xdr:nvSpPr>
            <xdr:cNvPr id="10120" name="Option Button 904" hidden="1">
              <a:extLst>
                <a:ext uri="{63B3BB69-23CF-44E3-9099-C40C66FF867C}">
                  <a14:compatExt spid="_x0000_s10120"/>
                </a:ext>
                <a:ext uri="{FF2B5EF4-FFF2-40B4-BE49-F238E27FC236}">
                  <a16:creationId xmlns:a16="http://schemas.microsoft.com/office/drawing/2014/main" id="{00000000-0008-0000-0100-000088270000}"/>
                </a:ext>
              </a:extLst>
            </xdr:cNvPr>
            <xdr:cNvSpPr/>
          </xdr:nvSpPr>
          <xdr:spPr bwMode="auto">
            <a:xfrm>
              <a:off x="0" y="0"/>
              <a:ext cx="0" cy="0"/>
            </a:xfrm>
            <a:prstGeom prst="rect">
              <a:avLst/>
            </a:prstGeom>
            <a:noFill/>
            <a:ln w="12700">
              <a:solidFill>
                <a:srgbClr val="FFFFFF" mc:Ignorable="a14" a14:legacySpreadsheetColorIndex="9"/>
              </a:solidFill>
              <a:miter lim="800000"/>
              <a:headEnd/>
              <a:tailEnd/>
            </a:ln>
            <a:extLst>
              <a:ext uri="{909E8E84-426E-40DD-AFC4-6F175D3DCCD1}">
                <a14:hiddenFill>
                  <a:solidFill>
                    <a:srgbClr val="3366FF" mc:Ignorable="a14" a14:legacySpreadsheetColorIndex="48"/>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7620</xdr:colOff>
          <xdr:row>15</xdr:row>
          <xdr:rowOff>0</xdr:rowOff>
        </xdr:from>
        <xdr:to>
          <xdr:col>12</xdr:col>
          <xdr:colOff>609600</xdr:colOff>
          <xdr:row>16</xdr:row>
          <xdr:rowOff>0</xdr:rowOff>
        </xdr:to>
        <xdr:sp macro="" textlink="">
          <xdr:nvSpPr>
            <xdr:cNvPr id="10122" name="Group Box 906" hidden="1">
              <a:extLst>
                <a:ext uri="{63B3BB69-23CF-44E3-9099-C40C66FF867C}">
                  <a14:compatExt spid="_x0000_s10122"/>
                </a:ext>
                <a:ext uri="{FF2B5EF4-FFF2-40B4-BE49-F238E27FC236}">
                  <a16:creationId xmlns:a16="http://schemas.microsoft.com/office/drawing/2014/main" id="{00000000-0008-0000-0100-00008A270000}"/>
                </a:ext>
              </a:extLst>
            </xdr:cNvPr>
            <xdr:cNvSpPr/>
          </xdr:nvSpPr>
          <xdr:spPr bwMode="auto">
            <a:xfrm>
              <a:off x="0" y="0"/>
              <a:ext cx="0" cy="0"/>
            </a:xfrm>
            <a:prstGeom prst="rect">
              <a:avLst/>
            </a:prstGeom>
            <a:noFill/>
            <a:ln w="12700">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45720</xdr:colOff>
          <xdr:row>15</xdr:row>
          <xdr:rowOff>22860</xdr:rowOff>
        </xdr:from>
        <xdr:to>
          <xdr:col>12</xdr:col>
          <xdr:colOff>342900</xdr:colOff>
          <xdr:row>15</xdr:row>
          <xdr:rowOff>160020</xdr:rowOff>
        </xdr:to>
        <xdr:sp macro="" textlink="">
          <xdr:nvSpPr>
            <xdr:cNvPr id="10123" name="Option Button 907" hidden="1">
              <a:extLst>
                <a:ext uri="{63B3BB69-23CF-44E3-9099-C40C66FF867C}">
                  <a14:compatExt spid="_x0000_s10123"/>
                </a:ext>
                <a:ext uri="{FF2B5EF4-FFF2-40B4-BE49-F238E27FC236}">
                  <a16:creationId xmlns:a16="http://schemas.microsoft.com/office/drawing/2014/main" id="{00000000-0008-0000-0100-00008B270000}"/>
                </a:ext>
              </a:extLst>
            </xdr:cNvPr>
            <xdr:cNvSpPr/>
          </xdr:nvSpPr>
          <xdr:spPr bwMode="auto">
            <a:xfrm>
              <a:off x="0" y="0"/>
              <a:ext cx="0" cy="0"/>
            </a:xfrm>
            <a:prstGeom prst="rect">
              <a:avLst/>
            </a:prstGeom>
            <a:noFill/>
            <a:ln w="12700">
              <a:solidFill>
                <a:srgbClr val="FFFFFF" mc:Ignorable="a14" a14:legacySpreadsheetColorIndex="9"/>
              </a:solidFill>
              <a:miter lim="800000"/>
              <a:headEnd/>
              <a:tailEnd/>
            </a:ln>
            <a:extLst>
              <a:ext uri="{909E8E84-426E-40DD-AFC4-6F175D3DCCD1}">
                <a14:hiddenFill>
                  <a:solidFill>
                    <a:srgbClr val="3366FF" mc:Ignorable="a14" a14:legacySpreadsheetColorIndex="48"/>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312420</xdr:colOff>
          <xdr:row>15</xdr:row>
          <xdr:rowOff>22860</xdr:rowOff>
        </xdr:from>
        <xdr:to>
          <xdr:col>12</xdr:col>
          <xdr:colOff>609600</xdr:colOff>
          <xdr:row>15</xdr:row>
          <xdr:rowOff>160020</xdr:rowOff>
        </xdr:to>
        <xdr:sp macro="" textlink="">
          <xdr:nvSpPr>
            <xdr:cNvPr id="10124" name="Option Button 908" hidden="1">
              <a:extLst>
                <a:ext uri="{63B3BB69-23CF-44E3-9099-C40C66FF867C}">
                  <a14:compatExt spid="_x0000_s10124"/>
                </a:ext>
                <a:ext uri="{FF2B5EF4-FFF2-40B4-BE49-F238E27FC236}">
                  <a16:creationId xmlns:a16="http://schemas.microsoft.com/office/drawing/2014/main" id="{00000000-0008-0000-0100-00008C270000}"/>
                </a:ext>
              </a:extLst>
            </xdr:cNvPr>
            <xdr:cNvSpPr/>
          </xdr:nvSpPr>
          <xdr:spPr bwMode="auto">
            <a:xfrm>
              <a:off x="0" y="0"/>
              <a:ext cx="0" cy="0"/>
            </a:xfrm>
            <a:prstGeom prst="rect">
              <a:avLst/>
            </a:prstGeom>
            <a:noFill/>
            <a:ln w="12700">
              <a:solidFill>
                <a:srgbClr val="FFFFFF" mc:Ignorable="a14" a14:legacySpreadsheetColorIndex="9"/>
              </a:solidFill>
              <a:miter lim="800000"/>
              <a:headEnd/>
              <a:tailEnd/>
            </a:ln>
            <a:extLst>
              <a:ext uri="{909E8E84-426E-40DD-AFC4-6F175D3DCCD1}">
                <a14:hiddenFill>
                  <a:solidFill>
                    <a:srgbClr val="3366FF" mc:Ignorable="a14" a14:legacySpreadsheetColorIndex="48"/>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7620</xdr:colOff>
          <xdr:row>16</xdr:row>
          <xdr:rowOff>0</xdr:rowOff>
        </xdr:from>
        <xdr:to>
          <xdr:col>12</xdr:col>
          <xdr:colOff>609600</xdr:colOff>
          <xdr:row>17</xdr:row>
          <xdr:rowOff>0</xdr:rowOff>
        </xdr:to>
        <xdr:sp macro="" textlink="">
          <xdr:nvSpPr>
            <xdr:cNvPr id="10126" name="Group Box 910" hidden="1">
              <a:extLst>
                <a:ext uri="{63B3BB69-23CF-44E3-9099-C40C66FF867C}">
                  <a14:compatExt spid="_x0000_s10126"/>
                </a:ext>
                <a:ext uri="{FF2B5EF4-FFF2-40B4-BE49-F238E27FC236}">
                  <a16:creationId xmlns:a16="http://schemas.microsoft.com/office/drawing/2014/main" id="{00000000-0008-0000-0100-00008E270000}"/>
                </a:ext>
              </a:extLst>
            </xdr:cNvPr>
            <xdr:cNvSpPr/>
          </xdr:nvSpPr>
          <xdr:spPr bwMode="auto">
            <a:xfrm>
              <a:off x="0" y="0"/>
              <a:ext cx="0" cy="0"/>
            </a:xfrm>
            <a:prstGeom prst="rect">
              <a:avLst/>
            </a:prstGeom>
            <a:noFill/>
            <a:ln w="12700">
              <a:miter lim="800000"/>
              <a:headEnd/>
              <a:tailEnd/>
            </a:ln>
            <a:extLst>
              <a:ext uri="{909E8E84-426E-40DD-AFC4-6F175D3DCCD1}">
                <a14:hiddenFill>
                  <a:no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45720</xdr:colOff>
          <xdr:row>16</xdr:row>
          <xdr:rowOff>22860</xdr:rowOff>
        </xdr:from>
        <xdr:to>
          <xdr:col>12</xdr:col>
          <xdr:colOff>342900</xdr:colOff>
          <xdr:row>16</xdr:row>
          <xdr:rowOff>152400</xdr:rowOff>
        </xdr:to>
        <xdr:sp macro="" textlink="">
          <xdr:nvSpPr>
            <xdr:cNvPr id="10127" name="Option Button 911" hidden="1">
              <a:extLst>
                <a:ext uri="{63B3BB69-23CF-44E3-9099-C40C66FF867C}">
                  <a14:compatExt spid="_x0000_s10127"/>
                </a:ext>
                <a:ext uri="{FF2B5EF4-FFF2-40B4-BE49-F238E27FC236}">
                  <a16:creationId xmlns:a16="http://schemas.microsoft.com/office/drawing/2014/main" id="{00000000-0008-0000-0100-00008F270000}"/>
                </a:ext>
              </a:extLst>
            </xdr:cNvPr>
            <xdr:cNvSpPr/>
          </xdr:nvSpPr>
          <xdr:spPr bwMode="auto">
            <a:xfrm>
              <a:off x="0" y="0"/>
              <a:ext cx="0" cy="0"/>
            </a:xfrm>
            <a:prstGeom prst="rect">
              <a:avLst/>
            </a:prstGeom>
            <a:noFill/>
            <a:ln w="12700">
              <a:solidFill>
                <a:srgbClr val="FFFFFF" mc:Ignorable="a14" a14:legacySpreadsheetColorIndex="9"/>
              </a:solidFill>
              <a:miter lim="800000"/>
              <a:headEnd/>
              <a:tailEnd/>
            </a:ln>
            <a:extLst>
              <a:ext uri="{909E8E84-426E-40DD-AFC4-6F175D3DCCD1}">
                <a14:hiddenFill>
                  <a:solidFill>
                    <a:srgbClr val="3366FF" mc:Ignorable="a14" a14:legacySpreadsheetColorIndex="48"/>
                  </a:solidFill>
                </a14:hiddenFill>
              </a:ext>
            </a:extLst>
          </xdr:spPr>
        </xdr:sp>
        <xdr:clientData/>
      </xdr:twoCellAnchor>
    </mc:Choice>
    <mc:Fallback/>
  </mc:AlternateContent>
  <mc:AlternateContent xmlns:mc="http://schemas.openxmlformats.org/markup-compatibility/2006">
    <mc:Choice xmlns:a14="http://schemas.microsoft.com/office/drawing/2010/main" Requires="a14">
      <xdr:twoCellAnchor>
        <xdr:from>
          <xdr:col>12</xdr:col>
          <xdr:colOff>312420</xdr:colOff>
          <xdr:row>16</xdr:row>
          <xdr:rowOff>22860</xdr:rowOff>
        </xdr:from>
        <xdr:to>
          <xdr:col>12</xdr:col>
          <xdr:colOff>609600</xdr:colOff>
          <xdr:row>16</xdr:row>
          <xdr:rowOff>152400</xdr:rowOff>
        </xdr:to>
        <xdr:sp macro="" textlink="">
          <xdr:nvSpPr>
            <xdr:cNvPr id="10128" name="Option Button 912" hidden="1">
              <a:extLst>
                <a:ext uri="{63B3BB69-23CF-44E3-9099-C40C66FF867C}">
                  <a14:compatExt spid="_x0000_s10128"/>
                </a:ext>
                <a:ext uri="{FF2B5EF4-FFF2-40B4-BE49-F238E27FC236}">
                  <a16:creationId xmlns:a16="http://schemas.microsoft.com/office/drawing/2014/main" id="{00000000-0008-0000-0100-000090270000}"/>
                </a:ext>
              </a:extLst>
            </xdr:cNvPr>
            <xdr:cNvSpPr/>
          </xdr:nvSpPr>
          <xdr:spPr bwMode="auto">
            <a:xfrm>
              <a:off x="0" y="0"/>
              <a:ext cx="0" cy="0"/>
            </a:xfrm>
            <a:prstGeom prst="rect">
              <a:avLst/>
            </a:prstGeom>
            <a:noFill/>
            <a:ln w="12700">
              <a:solidFill>
                <a:srgbClr val="FFFFFF" mc:Ignorable="a14" a14:legacySpreadsheetColorIndex="9"/>
              </a:solidFill>
              <a:miter lim="800000"/>
              <a:headEnd/>
              <a:tailEnd/>
            </a:ln>
            <a:extLst>
              <a:ext uri="{909E8E84-426E-40DD-AFC4-6F175D3DCCD1}">
                <a14:hiddenFill>
                  <a:solidFill>
                    <a:srgbClr val="3366FF" mc:Ignorable="a14" a14:legacySpreadsheetColorIndex="48"/>
                  </a:solidFill>
                </a14:hiddenFill>
              </a:ext>
            </a:extLst>
          </xdr:spPr>
        </xdr:sp>
        <xdr:clientData/>
      </xdr:twoCellAnchor>
    </mc:Choice>
    <mc:Fallback/>
  </mc:AlternateContent>
  <xdr:twoCellAnchor>
    <xdr:from>
      <xdr:col>3</xdr:col>
      <xdr:colOff>17145</xdr:colOff>
      <xdr:row>14</xdr:row>
      <xdr:rowOff>11430</xdr:rowOff>
    </xdr:from>
    <xdr:to>
      <xdr:col>3</xdr:col>
      <xdr:colOff>244439</xdr:colOff>
      <xdr:row>14</xdr:row>
      <xdr:rowOff>165049</xdr:rowOff>
    </xdr:to>
    <xdr:sp macro="" textlink="">
      <xdr:nvSpPr>
        <xdr:cNvPr id="63" name="Text Box 5">
          <a:hlinkClick xmlns:r="http://schemas.openxmlformats.org/officeDocument/2006/relationships" r:id="rId23"/>
          <a:extLst>
            <a:ext uri="{FF2B5EF4-FFF2-40B4-BE49-F238E27FC236}">
              <a16:creationId xmlns:a16="http://schemas.microsoft.com/office/drawing/2014/main" id="{00000000-0008-0000-0100-00003F000000}"/>
            </a:ext>
          </a:extLst>
        </xdr:cNvPr>
        <xdr:cNvSpPr txBox="1">
          <a:spLocks noChangeArrowheads="1"/>
        </xdr:cNvSpPr>
      </xdr:nvSpPr>
      <xdr:spPr bwMode="auto">
        <a:xfrm>
          <a:off x="4163321" y="2180889"/>
          <a:ext cx="219456" cy="146304"/>
        </a:xfrm>
        <a:prstGeom prst="rect">
          <a:avLst/>
        </a:prstGeom>
        <a:solidFill>
          <a:schemeClr val="accent1"/>
        </a:solidFill>
        <a:ln w="9525">
          <a:noFill/>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FFFFFF"/>
              </a:solidFill>
              <a:latin typeface="Arial"/>
              <a:cs typeface="Arial"/>
            </a:rPr>
            <a:t>+</a:t>
          </a:r>
        </a:p>
      </xdr:txBody>
    </xdr:sp>
    <xdr:clientData/>
  </xdr:twoCellAnchor>
  <xdr:twoCellAnchor>
    <xdr:from>
      <xdr:col>2</xdr:col>
      <xdr:colOff>89535</xdr:colOff>
      <xdr:row>4</xdr:row>
      <xdr:rowOff>7620</xdr:rowOff>
    </xdr:from>
    <xdr:to>
      <xdr:col>2</xdr:col>
      <xdr:colOff>306721</xdr:colOff>
      <xdr:row>4</xdr:row>
      <xdr:rowOff>149007</xdr:rowOff>
    </xdr:to>
    <xdr:sp macro="" textlink="">
      <xdr:nvSpPr>
        <xdr:cNvPr id="64" name="Text Box 5">
          <a:extLst>
            <a:ext uri="{FF2B5EF4-FFF2-40B4-BE49-F238E27FC236}">
              <a16:creationId xmlns:a16="http://schemas.microsoft.com/office/drawing/2014/main" id="{00000000-0008-0000-0100-000040000000}"/>
            </a:ext>
          </a:extLst>
        </xdr:cNvPr>
        <xdr:cNvSpPr txBox="1">
          <a:spLocks noChangeArrowheads="1"/>
        </xdr:cNvSpPr>
      </xdr:nvSpPr>
      <xdr:spPr bwMode="auto">
        <a:xfrm>
          <a:off x="266700" y="830580"/>
          <a:ext cx="226629" cy="150813"/>
        </a:xfrm>
        <a:prstGeom prst="rect">
          <a:avLst/>
        </a:prstGeom>
        <a:solidFill>
          <a:schemeClr val="accent1"/>
        </a:solidFill>
        <a:ln w="9525">
          <a:noFill/>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FFFFFF"/>
              </a:solidFill>
              <a:latin typeface="Arial"/>
              <a:cs typeface="Arial"/>
            </a:rPr>
            <a:t>+</a:t>
          </a:r>
        </a:p>
      </xdr:txBody>
    </xdr:sp>
    <xdr:clientData/>
  </xdr:twoCellAnchor>
  <xdr:twoCellAnchor>
    <xdr:from>
      <xdr:col>2</xdr:col>
      <xdr:colOff>367665</xdr:colOff>
      <xdr:row>4</xdr:row>
      <xdr:rowOff>0</xdr:rowOff>
    </xdr:from>
    <xdr:to>
      <xdr:col>2</xdr:col>
      <xdr:colOff>1777365</xdr:colOff>
      <xdr:row>5</xdr:row>
      <xdr:rowOff>0</xdr:rowOff>
    </xdr:to>
    <xdr:sp macro="" textlink="">
      <xdr:nvSpPr>
        <xdr:cNvPr id="65" name="Text Box 8">
          <a:extLst>
            <a:ext uri="{FF2B5EF4-FFF2-40B4-BE49-F238E27FC236}">
              <a16:creationId xmlns:a16="http://schemas.microsoft.com/office/drawing/2014/main" id="{00000000-0008-0000-0100-000041000000}"/>
            </a:ext>
          </a:extLst>
        </xdr:cNvPr>
        <xdr:cNvSpPr txBox="1">
          <a:spLocks noChangeArrowheads="1"/>
        </xdr:cNvSpPr>
      </xdr:nvSpPr>
      <xdr:spPr bwMode="auto">
        <a:xfrm>
          <a:off x="544830" y="822960"/>
          <a:ext cx="1409700" cy="167640"/>
        </a:xfrm>
        <a:prstGeom prst="rect">
          <a:avLst/>
        </a:prstGeom>
        <a:noFill/>
        <a:ln w="9525">
          <a:solidFill>
            <a:srgbClr val="000000"/>
          </a:solidFill>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000000"/>
              </a:solidFill>
              <a:latin typeface="Arial"/>
              <a:cs typeface="Arial"/>
            </a:rPr>
            <a:t>Click to add a comment</a:t>
          </a:r>
        </a:p>
      </xdr:txBody>
    </xdr:sp>
    <xdr:clientData/>
  </xdr:twoCellAnchor>
  <xdr:twoCellAnchor>
    <xdr:from>
      <xdr:col>14</xdr:col>
      <xdr:colOff>127635</xdr:colOff>
      <xdr:row>1</xdr:row>
      <xdr:rowOff>45720</xdr:rowOff>
    </xdr:from>
    <xdr:to>
      <xdr:col>15</xdr:col>
      <xdr:colOff>325755</xdr:colOff>
      <xdr:row>1</xdr:row>
      <xdr:rowOff>261351</xdr:rowOff>
    </xdr:to>
    <xdr:sp macro="" textlink="">
      <xdr:nvSpPr>
        <xdr:cNvPr id="70" name="Text Box 706">
          <a:extLst>
            <a:ext uri="{FF2B5EF4-FFF2-40B4-BE49-F238E27FC236}">
              <a16:creationId xmlns:a16="http://schemas.microsoft.com/office/drawing/2014/main" id="{00000000-0008-0000-0100-000046000000}"/>
            </a:ext>
          </a:extLst>
        </xdr:cNvPr>
        <xdr:cNvSpPr txBox="1">
          <a:spLocks noChangeArrowheads="1"/>
        </xdr:cNvSpPr>
      </xdr:nvSpPr>
      <xdr:spPr bwMode="auto">
        <a:xfrm>
          <a:off x="9883140" y="137160"/>
          <a:ext cx="617220" cy="207645"/>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US" sz="900" b="0" i="0" u="none" strike="noStrike" baseline="0">
              <a:solidFill>
                <a:srgbClr val="FFFFFF"/>
              </a:solidFill>
              <a:latin typeface="Arial"/>
              <a:cs typeface="Arial"/>
            </a:rPr>
            <a:t> WAS v5.0</a:t>
          </a:r>
          <a:endParaRPr lang="en-US" sz="1050"/>
        </a:p>
      </xdr:txBody>
    </xdr:sp>
    <xdr:clientData/>
  </xdr:twoCellAnchor>
  <xdr:twoCellAnchor>
    <xdr:from>
      <xdr:col>1</xdr:col>
      <xdr:colOff>68580</xdr:colOff>
      <xdr:row>1</xdr:row>
      <xdr:rowOff>53340</xdr:rowOff>
    </xdr:from>
    <xdr:to>
      <xdr:col>2</xdr:col>
      <xdr:colOff>350520</xdr:colOff>
      <xdr:row>1</xdr:row>
      <xdr:rowOff>480060</xdr:rowOff>
    </xdr:to>
    <xdr:pic>
      <xdr:nvPicPr>
        <xdr:cNvPr id="6043905" name="Picture 71">
          <a:hlinkClick xmlns:r="http://schemas.openxmlformats.org/officeDocument/2006/relationships" r:id="rId24"/>
          <a:extLst>
            <a:ext uri="{FF2B5EF4-FFF2-40B4-BE49-F238E27FC236}">
              <a16:creationId xmlns:a16="http://schemas.microsoft.com/office/drawing/2014/main" id="{00000000-0008-0000-0100-000001395C00}"/>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rcRect/>
        <a:stretch>
          <a:fillRect/>
        </a:stretch>
      </xdr:blipFill>
      <xdr:spPr bwMode="auto">
        <a:xfrm>
          <a:off x="144780" y="137160"/>
          <a:ext cx="411480" cy="426720"/>
        </a:xfrm>
        <a:prstGeom prst="rect">
          <a:avLst/>
        </a:prstGeom>
        <a:solidFill>
          <a:srgbClr val="1F497D">
            <a:alpha val="0"/>
          </a:srgbClr>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15240</xdr:colOff>
      <xdr:row>16</xdr:row>
      <xdr:rowOff>12136</xdr:rowOff>
    </xdr:from>
    <xdr:to>
      <xdr:col>3</xdr:col>
      <xdr:colOff>242534</xdr:colOff>
      <xdr:row>16</xdr:row>
      <xdr:rowOff>166568</xdr:rowOff>
    </xdr:to>
    <xdr:sp macro="" textlink="">
      <xdr:nvSpPr>
        <xdr:cNvPr id="66" name="Text Box 5">
          <a:hlinkClick xmlns:r="http://schemas.openxmlformats.org/officeDocument/2006/relationships" r:id="rId26"/>
          <a:extLst>
            <a:ext uri="{FF2B5EF4-FFF2-40B4-BE49-F238E27FC236}">
              <a16:creationId xmlns:a16="http://schemas.microsoft.com/office/drawing/2014/main" id="{00000000-0008-0000-0100-000042000000}"/>
            </a:ext>
          </a:extLst>
        </xdr:cNvPr>
        <xdr:cNvSpPr txBox="1">
          <a:spLocks noChangeArrowheads="1"/>
        </xdr:cNvSpPr>
      </xdr:nvSpPr>
      <xdr:spPr bwMode="auto">
        <a:xfrm>
          <a:off x="4161416" y="2520909"/>
          <a:ext cx="219456" cy="146304"/>
        </a:xfrm>
        <a:prstGeom prst="rect">
          <a:avLst/>
        </a:prstGeom>
        <a:solidFill>
          <a:schemeClr val="accent1"/>
        </a:solidFill>
        <a:ln w="9525">
          <a:noFill/>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FFFFFF"/>
              </a:solidFill>
              <a:latin typeface="Arial"/>
              <a:cs typeface="Arial"/>
            </a:rPr>
            <a:t>+</a:t>
          </a:r>
        </a:p>
      </xdr:txBody>
    </xdr:sp>
    <xdr:clientData/>
  </xdr:twoCellAnchor>
  <xdr:twoCellAnchor>
    <xdr:from>
      <xdr:col>3</xdr:col>
      <xdr:colOff>15240</xdr:colOff>
      <xdr:row>15</xdr:row>
      <xdr:rowOff>13264</xdr:rowOff>
    </xdr:from>
    <xdr:to>
      <xdr:col>3</xdr:col>
      <xdr:colOff>242534</xdr:colOff>
      <xdr:row>15</xdr:row>
      <xdr:rowOff>166883</xdr:rowOff>
    </xdr:to>
    <xdr:sp macro="" textlink="">
      <xdr:nvSpPr>
        <xdr:cNvPr id="67" name="Text Box 5">
          <a:hlinkClick xmlns:r="http://schemas.openxmlformats.org/officeDocument/2006/relationships" r:id="rId27"/>
          <a:extLst>
            <a:ext uri="{FF2B5EF4-FFF2-40B4-BE49-F238E27FC236}">
              <a16:creationId xmlns:a16="http://schemas.microsoft.com/office/drawing/2014/main" id="{00000000-0008-0000-0100-000043000000}"/>
            </a:ext>
          </a:extLst>
        </xdr:cNvPr>
        <xdr:cNvSpPr txBox="1">
          <a:spLocks noChangeArrowheads="1"/>
        </xdr:cNvSpPr>
      </xdr:nvSpPr>
      <xdr:spPr bwMode="auto">
        <a:xfrm>
          <a:off x="4161416" y="2348570"/>
          <a:ext cx="219456" cy="146304"/>
        </a:xfrm>
        <a:prstGeom prst="rect">
          <a:avLst/>
        </a:prstGeom>
        <a:solidFill>
          <a:schemeClr val="accent1"/>
        </a:solidFill>
        <a:ln w="9525">
          <a:noFill/>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FFFFFF"/>
              </a:solidFill>
              <a:latin typeface="Arial"/>
              <a:cs typeface="Arial"/>
            </a:rPr>
            <a:t>+</a:t>
          </a:r>
        </a:p>
      </xdr:txBody>
    </xdr:sp>
    <xdr:clientData/>
  </xdr:twoCellAnchor>
  <xdr:twoCellAnchor>
    <xdr:from>
      <xdr:col>3</xdr:col>
      <xdr:colOff>15240</xdr:colOff>
      <xdr:row>22</xdr:row>
      <xdr:rowOff>0</xdr:rowOff>
    </xdr:from>
    <xdr:to>
      <xdr:col>3</xdr:col>
      <xdr:colOff>242534</xdr:colOff>
      <xdr:row>22</xdr:row>
      <xdr:rowOff>146304</xdr:rowOff>
    </xdr:to>
    <xdr:sp macro="" textlink="">
      <xdr:nvSpPr>
        <xdr:cNvPr id="68" name="Text Box 2">
          <a:hlinkClick xmlns:r="http://schemas.openxmlformats.org/officeDocument/2006/relationships" r:id="rId28"/>
          <a:extLst>
            <a:ext uri="{FF2B5EF4-FFF2-40B4-BE49-F238E27FC236}">
              <a16:creationId xmlns:a16="http://schemas.microsoft.com/office/drawing/2014/main" id="{00000000-0008-0000-0100-000044000000}"/>
            </a:ext>
          </a:extLst>
        </xdr:cNvPr>
        <xdr:cNvSpPr txBox="1">
          <a:spLocks noChangeArrowheads="1"/>
        </xdr:cNvSpPr>
      </xdr:nvSpPr>
      <xdr:spPr bwMode="auto">
        <a:xfrm>
          <a:off x="4161416" y="3339353"/>
          <a:ext cx="219456" cy="146304"/>
        </a:xfrm>
        <a:prstGeom prst="rect">
          <a:avLst/>
        </a:prstGeom>
        <a:solidFill>
          <a:schemeClr val="accent1"/>
        </a:solidFill>
        <a:ln w="9525">
          <a:noFill/>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FFFFFF"/>
              </a:solidFill>
              <a:latin typeface="Arial"/>
              <a:cs typeface="Arial"/>
            </a:rPr>
            <a:t>+</a:t>
          </a:r>
        </a:p>
      </xdr:txBody>
    </xdr:sp>
    <xdr:clientData/>
  </xdr:twoCellAnchor>
  <xdr:twoCellAnchor>
    <xdr:from>
      <xdr:col>3</xdr:col>
      <xdr:colOff>15240</xdr:colOff>
      <xdr:row>23</xdr:row>
      <xdr:rowOff>3810</xdr:rowOff>
    </xdr:from>
    <xdr:to>
      <xdr:col>3</xdr:col>
      <xdr:colOff>232929</xdr:colOff>
      <xdr:row>23</xdr:row>
      <xdr:rowOff>146192</xdr:rowOff>
    </xdr:to>
    <xdr:sp macro="" textlink="">
      <xdr:nvSpPr>
        <xdr:cNvPr id="71" name="Text Box 3">
          <a:hlinkClick xmlns:r="http://schemas.openxmlformats.org/officeDocument/2006/relationships" r:id="rId29"/>
          <a:extLst>
            <a:ext uri="{FF2B5EF4-FFF2-40B4-BE49-F238E27FC236}">
              <a16:creationId xmlns:a16="http://schemas.microsoft.com/office/drawing/2014/main" id="{00000000-0008-0000-0100-000047000000}"/>
            </a:ext>
          </a:extLst>
        </xdr:cNvPr>
        <xdr:cNvSpPr txBox="1">
          <a:spLocks noChangeArrowheads="1"/>
        </xdr:cNvSpPr>
      </xdr:nvSpPr>
      <xdr:spPr bwMode="auto">
        <a:xfrm>
          <a:off x="4161416" y="3505088"/>
          <a:ext cx="219456" cy="146304"/>
        </a:xfrm>
        <a:prstGeom prst="rect">
          <a:avLst/>
        </a:prstGeom>
        <a:solidFill>
          <a:schemeClr val="accent1"/>
        </a:solidFill>
        <a:ln w="9525">
          <a:noFill/>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FFFFFF"/>
              </a:solidFill>
              <a:latin typeface="Arial"/>
              <a:cs typeface="Arial"/>
            </a:rPr>
            <a:t>+</a:t>
          </a:r>
        </a:p>
      </xdr:txBody>
    </xdr:sp>
    <xdr:clientData/>
  </xdr:twoCellAnchor>
  <xdr:twoCellAnchor>
    <xdr:from>
      <xdr:col>3</xdr:col>
      <xdr:colOff>15240</xdr:colOff>
      <xdr:row>25</xdr:row>
      <xdr:rowOff>17145</xdr:rowOff>
    </xdr:from>
    <xdr:to>
      <xdr:col>3</xdr:col>
      <xdr:colOff>242534</xdr:colOff>
      <xdr:row>25</xdr:row>
      <xdr:rowOff>171577</xdr:rowOff>
    </xdr:to>
    <xdr:sp macro="" textlink="">
      <xdr:nvSpPr>
        <xdr:cNvPr id="72" name="Text Box 4">
          <a:hlinkClick xmlns:r="http://schemas.openxmlformats.org/officeDocument/2006/relationships" r:id="rId30"/>
          <a:extLst>
            <a:ext uri="{FF2B5EF4-FFF2-40B4-BE49-F238E27FC236}">
              <a16:creationId xmlns:a16="http://schemas.microsoft.com/office/drawing/2014/main" id="{00000000-0008-0000-0100-000048000000}"/>
            </a:ext>
          </a:extLst>
        </xdr:cNvPr>
        <xdr:cNvSpPr txBox="1">
          <a:spLocks noChangeArrowheads="1"/>
        </xdr:cNvSpPr>
      </xdr:nvSpPr>
      <xdr:spPr bwMode="auto">
        <a:xfrm>
          <a:off x="4161416" y="3854039"/>
          <a:ext cx="219456" cy="146304"/>
        </a:xfrm>
        <a:prstGeom prst="rect">
          <a:avLst/>
        </a:prstGeom>
        <a:solidFill>
          <a:schemeClr val="accent1"/>
        </a:solidFill>
        <a:ln w="9525">
          <a:noFill/>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FFFFFF"/>
              </a:solidFill>
              <a:latin typeface="Arial"/>
              <a:cs typeface="Arial"/>
            </a:rPr>
            <a:t>+</a:t>
          </a:r>
        </a:p>
      </xdr:txBody>
    </xdr:sp>
    <xdr:clientData/>
  </xdr:twoCellAnchor>
  <xdr:twoCellAnchor>
    <xdr:from>
      <xdr:col>3</xdr:col>
      <xdr:colOff>15240</xdr:colOff>
      <xdr:row>24</xdr:row>
      <xdr:rowOff>7620</xdr:rowOff>
    </xdr:from>
    <xdr:to>
      <xdr:col>3</xdr:col>
      <xdr:colOff>242534</xdr:colOff>
      <xdr:row>24</xdr:row>
      <xdr:rowOff>153924</xdr:rowOff>
    </xdr:to>
    <xdr:sp macro="" textlink="">
      <xdr:nvSpPr>
        <xdr:cNvPr id="73" name="Text Box 6">
          <a:hlinkClick xmlns:r="http://schemas.openxmlformats.org/officeDocument/2006/relationships" r:id="rId31"/>
          <a:extLst>
            <a:ext uri="{FF2B5EF4-FFF2-40B4-BE49-F238E27FC236}">
              <a16:creationId xmlns:a16="http://schemas.microsoft.com/office/drawing/2014/main" id="{00000000-0008-0000-0100-000049000000}"/>
            </a:ext>
          </a:extLst>
        </xdr:cNvPr>
        <xdr:cNvSpPr txBox="1">
          <a:spLocks noChangeArrowheads="1"/>
        </xdr:cNvSpPr>
      </xdr:nvSpPr>
      <xdr:spPr bwMode="auto">
        <a:xfrm>
          <a:off x="4161416" y="3678667"/>
          <a:ext cx="219456" cy="146304"/>
        </a:xfrm>
        <a:prstGeom prst="rect">
          <a:avLst/>
        </a:prstGeom>
        <a:solidFill>
          <a:schemeClr val="accent1"/>
        </a:solidFill>
        <a:ln w="9525">
          <a:noFill/>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FFFFFF"/>
              </a:solidFill>
              <a:latin typeface="Arial"/>
              <a:cs typeface="Arial"/>
            </a:rPr>
            <a:t>+</a:t>
          </a:r>
        </a:p>
      </xdr:txBody>
    </xdr:sp>
    <xdr:clientData/>
  </xdr:twoCellAnchor>
  <xdr:twoCellAnchor>
    <xdr:from>
      <xdr:col>12</xdr:col>
      <xdr:colOff>68580</xdr:colOff>
      <xdr:row>1</xdr:row>
      <xdr:rowOff>220980</xdr:rowOff>
    </xdr:from>
    <xdr:to>
      <xdr:col>16</xdr:col>
      <xdr:colOff>0</xdr:colOff>
      <xdr:row>1</xdr:row>
      <xdr:rowOff>518160</xdr:rowOff>
    </xdr:to>
    <xdr:sp macro="" textlink="">
      <xdr:nvSpPr>
        <xdr:cNvPr id="75" name="Text Box 474">
          <a:extLst>
            <a:ext uri="{FF2B5EF4-FFF2-40B4-BE49-F238E27FC236}">
              <a16:creationId xmlns:a16="http://schemas.microsoft.com/office/drawing/2014/main" id="{00000000-0008-0000-0100-00004B000000}"/>
            </a:ext>
          </a:extLst>
        </xdr:cNvPr>
        <xdr:cNvSpPr txBox="1">
          <a:spLocks noChangeArrowheads="1"/>
        </xdr:cNvSpPr>
      </xdr:nvSpPr>
      <xdr:spPr bwMode="auto">
        <a:xfrm>
          <a:off x="8625840" y="304800"/>
          <a:ext cx="188214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2014, </a:t>
          </a:r>
          <a:r>
            <a:rPr lang="en-US" sz="800" b="0" i="0" u="none" strike="noStrike" baseline="0">
              <a:solidFill>
                <a:srgbClr val="FFFFFF"/>
              </a:solidFill>
              <a:latin typeface="Arial"/>
              <a:cs typeface="Arial"/>
            </a:rPr>
            <a:t>All Rights Reserved.</a:t>
          </a:r>
          <a:endParaRPr lang="en-US"/>
        </a:p>
      </xdr:txBody>
    </xdr:sp>
    <xdr:clientData/>
  </xdr:twoCellAnchor>
  <xdr:twoCellAnchor>
    <xdr:from>
      <xdr:col>8</xdr:col>
      <xdr:colOff>1282065</xdr:colOff>
      <xdr:row>14</xdr:row>
      <xdr:rowOff>15240</xdr:rowOff>
    </xdr:from>
    <xdr:to>
      <xdr:col>8</xdr:col>
      <xdr:colOff>1509106</xdr:colOff>
      <xdr:row>15</xdr:row>
      <xdr:rowOff>2032</xdr:rowOff>
    </xdr:to>
    <xdr:sp macro="" textlink="">
      <xdr:nvSpPr>
        <xdr:cNvPr id="77" name="Text Box 5">
          <a:hlinkClick xmlns:r="http://schemas.openxmlformats.org/officeDocument/2006/relationships" r:id="rId32"/>
          <a:extLst>
            <a:ext uri="{FF2B5EF4-FFF2-40B4-BE49-F238E27FC236}">
              <a16:creationId xmlns:a16="http://schemas.microsoft.com/office/drawing/2014/main" id="{00000000-0008-0000-0100-00004D000000}"/>
            </a:ext>
          </a:extLst>
        </xdr:cNvPr>
        <xdr:cNvSpPr txBox="1">
          <a:spLocks noChangeArrowheads="1"/>
        </xdr:cNvSpPr>
      </xdr:nvSpPr>
      <xdr:spPr bwMode="auto">
        <a:xfrm>
          <a:off x="7515225" y="2186940"/>
          <a:ext cx="219456" cy="146304"/>
        </a:xfrm>
        <a:prstGeom prst="rect">
          <a:avLst/>
        </a:prstGeom>
        <a:solidFill>
          <a:schemeClr val="accent1"/>
        </a:solidFill>
        <a:ln w="9525">
          <a:noFill/>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FFFFFF"/>
              </a:solidFill>
              <a:latin typeface="Arial"/>
              <a:cs typeface="Arial"/>
            </a:rPr>
            <a:t>?</a:t>
          </a:r>
        </a:p>
      </xdr:txBody>
    </xdr:sp>
    <xdr:clientData/>
  </xdr:twoCellAnchor>
  <xdr:twoCellAnchor>
    <xdr:from>
      <xdr:col>8</xdr:col>
      <xdr:colOff>1282065</xdr:colOff>
      <xdr:row>15</xdr:row>
      <xdr:rowOff>18062</xdr:rowOff>
    </xdr:from>
    <xdr:to>
      <xdr:col>8</xdr:col>
      <xdr:colOff>1509106</xdr:colOff>
      <xdr:row>16</xdr:row>
      <xdr:rowOff>2441</xdr:rowOff>
    </xdr:to>
    <xdr:sp macro="" textlink="">
      <xdr:nvSpPr>
        <xdr:cNvPr id="78" name="Text Box 95">
          <a:hlinkClick xmlns:r="http://schemas.openxmlformats.org/officeDocument/2006/relationships" r:id="rId33"/>
          <a:extLst>
            <a:ext uri="{FF2B5EF4-FFF2-40B4-BE49-F238E27FC236}">
              <a16:creationId xmlns:a16="http://schemas.microsoft.com/office/drawing/2014/main" id="{00000000-0008-0000-0100-00004E000000}"/>
            </a:ext>
          </a:extLst>
        </xdr:cNvPr>
        <xdr:cNvSpPr txBox="1">
          <a:spLocks noChangeArrowheads="1"/>
        </xdr:cNvSpPr>
      </xdr:nvSpPr>
      <xdr:spPr bwMode="auto">
        <a:xfrm>
          <a:off x="7515225" y="2357402"/>
          <a:ext cx="219456" cy="146304"/>
        </a:xfrm>
        <a:prstGeom prst="rect">
          <a:avLst/>
        </a:prstGeom>
        <a:solidFill>
          <a:schemeClr val="accent1"/>
        </a:solidFill>
        <a:ln w="9525">
          <a:noFill/>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FFFFFF"/>
              </a:solidFill>
              <a:latin typeface="Arial"/>
              <a:cs typeface="Arial"/>
            </a:rPr>
            <a:t>?</a:t>
          </a:r>
        </a:p>
      </xdr:txBody>
    </xdr:sp>
    <xdr:clientData/>
  </xdr:twoCellAnchor>
  <xdr:twoCellAnchor>
    <xdr:from>
      <xdr:col>8</xdr:col>
      <xdr:colOff>1282065</xdr:colOff>
      <xdr:row>16</xdr:row>
      <xdr:rowOff>15240</xdr:rowOff>
    </xdr:from>
    <xdr:to>
      <xdr:col>8</xdr:col>
      <xdr:colOff>1509106</xdr:colOff>
      <xdr:row>16</xdr:row>
      <xdr:rowOff>159618</xdr:rowOff>
    </xdr:to>
    <xdr:sp macro="" textlink="">
      <xdr:nvSpPr>
        <xdr:cNvPr id="79" name="Text Box 96">
          <a:hlinkClick xmlns:r="http://schemas.openxmlformats.org/officeDocument/2006/relationships" r:id="rId34"/>
          <a:extLst>
            <a:ext uri="{FF2B5EF4-FFF2-40B4-BE49-F238E27FC236}">
              <a16:creationId xmlns:a16="http://schemas.microsoft.com/office/drawing/2014/main" id="{00000000-0008-0000-0100-00004F000000}"/>
            </a:ext>
          </a:extLst>
        </xdr:cNvPr>
        <xdr:cNvSpPr txBox="1">
          <a:spLocks noChangeArrowheads="1"/>
        </xdr:cNvSpPr>
      </xdr:nvSpPr>
      <xdr:spPr bwMode="auto">
        <a:xfrm>
          <a:off x="7515225" y="2529840"/>
          <a:ext cx="219456" cy="146304"/>
        </a:xfrm>
        <a:prstGeom prst="rect">
          <a:avLst/>
        </a:prstGeom>
        <a:solidFill>
          <a:schemeClr val="accent1"/>
        </a:solidFill>
        <a:ln w="9525">
          <a:noFill/>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FFFFFF"/>
              </a:solidFill>
              <a:latin typeface="Arial"/>
              <a:cs typeface="Arial"/>
            </a:rPr>
            <a:t>?</a:t>
          </a:r>
        </a:p>
      </xdr:txBody>
    </xdr:sp>
    <xdr:clientData/>
  </xdr:twoCellAnchor>
  <xdr:twoCellAnchor>
    <xdr:from>
      <xdr:col>8</xdr:col>
      <xdr:colOff>1032510</xdr:colOff>
      <xdr:row>14</xdr:row>
      <xdr:rowOff>15240</xdr:rowOff>
    </xdr:from>
    <xdr:to>
      <xdr:col>8</xdr:col>
      <xdr:colOff>1259533</xdr:colOff>
      <xdr:row>15</xdr:row>
      <xdr:rowOff>2032</xdr:rowOff>
    </xdr:to>
    <xdr:sp macro="" textlink="">
      <xdr:nvSpPr>
        <xdr:cNvPr id="80" name="Text Box 5">
          <a:hlinkClick xmlns:r="http://schemas.openxmlformats.org/officeDocument/2006/relationships" r:id="rId35"/>
          <a:extLst>
            <a:ext uri="{FF2B5EF4-FFF2-40B4-BE49-F238E27FC236}">
              <a16:creationId xmlns:a16="http://schemas.microsoft.com/office/drawing/2014/main" id="{00000000-0008-0000-0100-000050000000}"/>
            </a:ext>
          </a:extLst>
        </xdr:cNvPr>
        <xdr:cNvSpPr txBox="1">
          <a:spLocks noChangeArrowheads="1"/>
        </xdr:cNvSpPr>
      </xdr:nvSpPr>
      <xdr:spPr bwMode="auto">
        <a:xfrm>
          <a:off x="7256145" y="2186940"/>
          <a:ext cx="219456" cy="146304"/>
        </a:xfrm>
        <a:prstGeom prst="rect">
          <a:avLst/>
        </a:prstGeom>
        <a:solidFill>
          <a:schemeClr val="accent1"/>
        </a:solidFill>
        <a:ln w="9525">
          <a:noFill/>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FFFFFF"/>
              </a:solidFill>
              <a:latin typeface="Arial"/>
              <a:cs typeface="Arial"/>
            </a:rPr>
            <a:t>+</a:t>
          </a:r>
        </a:p>
      </xdr:txBody>
    </xdr:sp>
    <xdr:clientData/>
  </xdr:twoCellAnchor>
  <xdr:twoCellAnchor>
    <xdr:from>
      <xdr:col>8</xdr:col>
      <xdr:colOff>1030605</xdr:colOff>
      <xdr:row>16</xdr:row>
      <xdr:rowOff>15946</xdr:rowOff>
    </xdr:from>
    <xdr:to>
      <xdr:col>8</xdr:col>
      <xdr:colOff>1257628</xdr:colOff>
      <xdr:row>16</xdr:row>
      <xdr:rowOff>160316</xdr:rowOff>
    </xdr:to>
    <xdr:sp macro="" textlink="">
      <xdr:nvSpPr>
        <xdr:cNvPr id="81" name="Text Box 5">
          <a:hlinkClick xmlns:r="http://schemas.openxmlformats.org/officeDocument/2006/relationships" r:id="rId36"/>
          <a:extLst>
            <a:ext uri="{FF2B5EF4-FFF2-40B4-BE49-F238E27FC236}">
              <a16:creationId xmlns:a16="http://schemas.microsoft.com/office/drawing/2014/main" id="{00000000-0008-0000-0100-000051000000}"/>
            </a:ext>
          </a:extLst>
        </xdr:cNvPr>
        <xdr:cNvSpPr txBox="1">
          <a:spLocks noChangeArrowheads="1"/>
        </xdr:cNvSpPr>
      </xdr:nvSpPr>
      <xdr:spPr bwMode="auto">
        <a:xfrm>
          <a:off x="7254240" y="2530546"/>
          <a:ext cx="219456" cy="146297"/>
        </a:xfrm>
        <a:prstGeom prst="rect">
          <a:avLst/>
        </a:prstGeom>
        <a:solidFill>
          <a:schemeClr val="accent1"/>
        </a:solidFill>
        <a:ln w="9525">
          <a:noFill/>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FFFFFF"/>
              </a:solidFill>
              <a:latin typeface="Arial"/>
              <a:cs typeface="Arial"/>
            </a:rPr>
            <a:t>+</a:t>
          </a:r>
        </a:p>
      </xdr:txBody>
    </xdr:sp>
    <xdr:clientData/>
  </xdr:twoCellAnchor>
  <xdr:twoCellAnchor>
    <xdr:from>
      <xdr:col>8</xdr:col>
      <xdr:colOff>1030605</xdr:colOff>
      <xdr:row>15</xdr:row>
      <xdr:rowOff>17074</xdr:rowOff>
    </xdr:from>
    <xdr:to>
      <xdr:col>8</xdr:col>
      <xdr:colOff>1257628</xdr:colOff>
      <xdr:row>16</xdr:row>
      <xdr:rowOff>1453</xdr:rowOff>
    </xdr:to>
    <xdr:sp macro="" textlink="">
      <xdr:nvSpPr>
        <xdr:cNvPr id="82" name="Text Box 5">
          <a:hlinkClick xmlns:r="http://schemas.openxmlformats.org/officeDocument/2006/relationships" r:id="rId37"/>
          <a:extLst>
            <a:ext uri="{FF2B5EF4-FFF2-40B4-BE49-F238E27FC236}">
              <a16:creationId xmlns:a16="http://schemas.microsoft.com/office/drawing/2014/main" id="{00000000-0008-0000-0100-000052000000}"/>
            </a:ext>
          </a:extLst>
        </xdr:cNvPr>
        <xdr:cNvSpPr txBox="1">
          <a:spLocks noChangeArrowheads="1"/>
        </xdr:cNvSpPr>
      </xdr:nvSpPr>
      <xdr:spPr bwMode="auto">
        <a:xfrm>
          <a:off x="7254240" y="2356414"/>
          <a:ext cx="219456" cy="146304"/>
        </a:xfrm>
        <a:prstGeom prst="rect">
          <a:avLst/>
        </a:prstGeom>
        <a:solidFill>
          <a:schemeClr val="accent1"/>
        </a:solidFill>
        <a:ln w="9525">
          <a:noFill/>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FFFFFF"/>
              </a:solidFill>
              <a:latin typeface="Arial"/>
              <a:cs typeface="Arial"/>
            </a:rPr>
            <a:t>+</a:t>
          </a:r>
        </a:p>
      </xdr:txBody>
    </xdr:sp>
    <xdr:clientData/>
  </xdr:twoCellAnchor>
  <xdr:twoCellAnchor>
    <xdr:from>
      <xdr:col>3</xdr:col>
      <xdr:colOff>17022</xdr:colOff>
      <xdr:row>37</xdr:row>
      <xdr:rowOff>24204</xdr:rowOff>
    </xdr:from>
    <xdr:to>
      <xdr:col>3</xdr:col>
      <xdr:colOff>244316</xdr:colOff>
      <xdr:row>37</xdr:row>
      <xdr:rowOff>161364</xdr:rowOff>
    </xdr:to>
    <xdr:sp macro="" textlink="">
      <xdr:nvSpPr>
        <xdr:cNvPr id="92" name="Text Box 4">
          <a:hlinkClick xmlns:r="http://schemas.openxmlformats.org/officeDocument/2006/relationships" r:id="rId38"/>
          <a:extLst>
            <a:ext uri="{FF2B5EF4-FFF2-40B4-BE49-F238E27FC236}">
              <a16:creationId xmlns:a16="http://schemas.microsoft.com/office/drawing/2014/main" id="{00000000-0008-0000-0100-00005C000000}"/>
            </a:ext>
          </a:extLst>
        </xdr:cNvPr>
        <xdr:cNvSpPr txBox="1">
          <a:spLocks noChangeArrowheads="1"/>
        </xdr:cNvSpPr>
      </xdr:nvSpPr>
      <xdr:spPr bwMode="auto">
        <a:xfrm>
          <a:off x="4163198" y="5237180"/>
          <a:ext cx="219456" cy="146304"/>
        </a:xfrm>
        <a:prstGeom prst="rect">
          <a:avLst/>
        </a:prstGeom>
        <a:solidFill>
          <a:schemeClr val="accent1"/>
        </a:solidFill>
        <a:ln w="9525">
          <a:noFill/>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FFFFFF"/>
              </a:solidFill>
              <a:latin typeface="Arial"/>
              <a:cs typeface="Arial"/>
            </a:rPr>
            <a:t>+</a:t>
          </a:r>
        </a:p>
      </xdr:txBody>
    </xdr:sp>
    <xdr:clientData/>
  </xdr:twoCellAnchor>
  <xdr:twoCellAnchor>
    <xdr:from>
      <xdr:col>3</xdr:col>
      <xdr:colOff>17022</xdr:colOff>
      <xdr:row>41</xdr:row>
      <xdr:rowOff>22860</xdr:rowOff>
    </xdr:from>
    <xdr:to>
      <xdr:col>3</xdr:col>
      <xdr:colOff>244316</xdr:colOff>
      <xdr:row>41</xdr:row>
      <xdr:rowOff>167640</xdr:rowOff>
    </xdr:to>
    <xdr:sp macro="" textlink="">
      <xdr:nvSpPr>
        <xdr:cNvPr id="93" name="Text Box 4">
          <a:hlinkClick xmlns:r="http://schemas.openxmlformats.org/officeDocument/2006/relationships" r:id="rId39"/>
          <a:extLst>
            <a:ext uri="{FF2B5EF4-FFF2-40B4-BE49-F238E27FC236}">
              <a16:creationId xmlns:a16="http://schemas.microsoft.com/office/drawing/2014/main" id="{00000000-0008-0000-0100-00005D000000}"/>
            </a:ext>
          </a:extLst>
        </xdr:cNvPr>
        <xdr:cNvSpPr txBox="1">
          <a:spLocks noChangeArrowheads="1"/>
        </xdr:cNvSpPr>
      </xdr:nvSpPr>
      <xdr:spPr bwMode="auto">
        <a:xfrm>
          <a:off x="4163198" y="5666142"/>
          <a:ext cx="219456" cy="146304"/>
        </a:xfrm>
        <a:prstGeom prst="rect">
          <a:avLst/>
        </a:prstGeom>
        <a:solidFill>
          <a:schemeClr val="accent1"/>
        </a:solidFill>
        <a:ln w="9525">
          <a:noFill/>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FFFFFF"/>
              </a:solidFill>
              <a:latin typeface="Arial"/>
              <a:cs typeface="Arial"/>
            </a:rPr>
            <a:t>+</a:t>
          </a:r>
        </a:p>
      </xdr:txBody>
    </xdr:sp>
    <xdr:clientData/>
  </xdr:twoCellAnchor>
  <xdr:twoCellAnchor>
    <xdr:from>
      <xdr:col>3</xdr:col>
      <xdr:colOff>17022</xdr:colOff>
      <xdr:row>42</xdr:row>
      <xdr:rowOff>22860</xdr:rowOff>
    </xdr:from>
    <xdr:to>
      <xdr:col>3</xdr:col>
      <xdr:colOff>234711</xdr:colOff>
      <xdr:row>43</xdr:row>
      <xdr:rowOff>3317</xdr:rowOff>
    </xdr:to>
    <xdr:sp macro="" textlink="">
      <xdr:nvSpPr>
        <xdr:cNvPr id="95" name="Text Box 4">
          <a:hlinkClick xmlns:r="http://schemas.openxmlformats.org/officeDocument/2006/relationships" r:id="rId40"/>
          <a:extLst>
            <a:ext uri="{FF2B5EF4-FFF2-40B4-BE49-F238E27FC236}">
              <a16:creationId xmlns:a16="http://schemas.microsoft.com/office/drawing/2014/main" id="{00000000-0008-0000-0100-00005F000000}"/>
            </a:ext>
          </a:extLst>
        </xdr:cNvPr>
        <xdr:cNvSpPr txBox="1">
          <a:spLocks noChangeArrowheads="1"/>
        </xdr:cNvSpPr>
      </xdr:nvSpPr>
      <xdr:spPr bwMode="auto">
        <a:xfrm>
          <a:off x="4163198" y="5858884"/>
          <a:ext cx="219456" cy="146304"/>
        </a:xfrm>
        <a:prstGeom prst="rect">
          <a:avLst/>
        </a:prstGeom>
        <a:solidFill>
          <a:schemeClr val="accent1"/>
        </a:solidFill>
        <a:ln w="9525">
          <a:noFill/>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FFFFFF"/>
              </a:solidFill>
              <a:latin typeface="Arial"/>
              <a:cs typeface="Arial"/>
            </a:rPr>
            <a:t>+</a:t>
          </a:r>
        </a:p>
      </xdr:txBody>
    </xdr:sp>
    <xdr:clientData/>
  </xdr:twoCellAnchor>
  <xdr:twoCellAnchor>
    <xdr:from>
      <xdr:col>3</xdr:col>
      <xdr:colOff>16572</xdr:colOff>
      <xdr:row>61</xdr:row>
      <xdr:rowOff>19722</xdr:rowOff>
    </xdr:from>
    <xdr:to>
      <xdr:col>3</xdr:col>
      <xdr:colOff>234261</xdr:colOff>
      <xdr:row>62</xdr:row>
      <xdr:rowOff>179</xdr:rowOff>
    </xdr:to>
    <xdr:sp macro="" textlink="">
      <xdr:nvSpPr>
        <xdr:cNvPr id="99" name="Text Box 4">
          <a:hlinkClick xmlns:r="http://schemas.openxmlformats.org/officeDocument/2006/relationships" r:id="rId41"/>
          <a:extLst>
            <a:ext uri="{FF2B5EF4-FFF2-40B4-BE49-F238E27FC236}">
              <a16:creationId xmlns:a16="http://schemas.microsoft.com/office/drawing/2014/main" id="{00000000-0008-0000-0100-000063000000}"/>
            </a:ext>
          </a:extLst>
        </xdr:cNvPr>
        <xdr:cNvSpPr txBox="1">
          <a:spLocks noChangeArrowheads="1"/>
        </xdr:cNvSpPr>
      </xdr:nvSpPr>
      <xdr:spPr bwMode="auto">
        <a:xfrm>
          <a:off x="4162748" y="8114851"/>
          <a:ext cx="219456" cy="146304"/>
        </a:xfrm>
        <a:prstGeom prst="rect">
          <a:avLst/>
        </a:prstGeom>
        <a:solidFill>
          <a:schemeClr val="accent1"/>
        </a:solidFill>
        <a:ln w="9525">
          <a:noFill/>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FFFFFF"/>
              </a:solidFill>
              <a:latin typeface="Arial"/>
              <a:cs typeface="Arial"/>
            </a:rPr>
            <a:t>+</a:t>
          </a:r>
        </a:p>
      </xdr:txBody>
    </xdr:sp>
    <xdr:clientData/>
  </xdr:twoCellAnchor>
  <xdr:twoCellAnchor>
    <xdr:from>
      <xdr:col>3</xdr:col>
      <xdr:colOff>18366</xdr:colOff>
      <xdr:row>62</xdr:row>
      <xdr:rowOff>30480</xdr:rowOff>
    </xdr:from>
    <xdr:to>
      <xdr:col>3</xdr:col>
      <xdr:colOff>236055</xdr:colOff>
      <xdr:row>63</xdr:row>
      <xdr:rowOff>10936</xdr:rowOff>
    </xdr:to>
    <xdr:sp macro="" textlink="">
      <xdr:nvSpPr>
        <xdr:cNvPr id="100" name="Text Box 4">
          <a:hlinkClick xmlns:r="http://schemas.openxmlformats.org/officeDocument/2006/relationships" r:id="rId42"/>
          <a:extLst>
            <a:ext uri="{FF2B5EF4-FFF2-40B4-BE49-F238E27FC236}">
              <a16:creationId xmlns:a16="http://schemas.microsoft.com/office/drawing/2014/main" id="{00000000-0008-0000-0100-000064000000}"/>
            </a:ext>
          </a:extLst>
        </xdr:cNvPr>
        <xdr:cNvSpPr txBox="1">
          <a:spLocks noChangeArrowheads="1"/>
        </xdr:cNvSpPr>
      </xdr:nvSpPr>
      <xdr:spPr bwMode="auto">
        <a:xfrm>
          <a:off x="4164542" y="8291456"/>
          <a:ext cx="219456" cy="146304"/>
        </a:xfrm>
        <a:prstGeom prst="rect">
          <a:avLst/>
        </a:prstGeom>
        <a:solidFill>
          <a:schemeClr val="accent1"/>
        </a:solidFill>
        <a:ln w="9525">
          <a:noFill/>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FFFFFF"/>
              </a:solidFill>
              <a:latin typeface="Arial"/>
              <a:cs typeface="Arial"/>
            </a:rPr>
            <a:t>+</a:t>
          </a:r>
        </a:p>
      </xdr:txBody>
    </xdr:sp>
    <xdr:clientData/>
  </xdr:twoCellAnchor>
  <xdr:twoCellAnchor>
    <xdr:from>
      <xdr:col>3</xdr:col>
      <xdr:colOff>16572</xdr:colOff>
      <xdr:row>66</xdr:row>
      <xdr:rowOff>7620</xdr:rowOff>
    </xdr:from>
    <xdr:to>
      <xdr:col>3</xdr:col>
      <xdr:colOff>243866</xdr:colOff>
      <xdr:row>66</xdr:row>
      <xdr:rowOff>155717</xdr:rowOff>
    </xdr:to>
    <xdr:sp macro="" textlink="">
      <xdr:nvSpPr>
        <xdr:cNvPr id="101" name="Text Box 4">
          <a:hlinkClick xmlns:r="http://schemas.openxmlformats.org/officeDocument/2006/relationships" r:id="rId43"/>
          <a:extLst>
            <a:ext uri="{FF2B5EF4-FFF2-40B4-BE49-F238E27FC236}">
              <a16:creationId xmlns:a16="http://schemas.microsoft.com/office/drawing/2014/main" id="{00000000-0008-0000-0100-000065000000}"/>
            </a:ext>
          </a:extLst>
        </xdr:cNvPr>
        <xdr:cNvSpPr txBox="1">
          <a:spLocks noChangeArrowheads="1"/>
        </xdr:cNvSpPr>
      </xdr:nvSpPr>
      <xdr:spPr bwMode="auto">
        <a:xfrm>
          <a:off x="4161852" y="8915400"/>
          <a:ext cx="219456" cy="148097"/>
        </a:xfrm>
        <a:prstGeom prst="rect">
          <a:avLst/>
        </a:prstGeom>
        <a:solidFill>
          <a:schemeClr val="accent1"/>
        </a:solidFill>
        <a:ln w="9525">
          <a:noFill/>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FFFFFF"/>
              </a:solidFill>
              <a:latin typeface="Arial"/>
              <a:cs typeface="Arial"/>
            </a:rPr>
            <a:t>+</a:t>
          </a:r>
        </a:p>
      </xdr:txBody>
    </xdr:sp>
    <xdr:clientData/>
  </xdr:twoCellAnchor>
  <xdr:twoCellAnchor>
    <xdr:from>
      <xdr:col>3</xdr:col>
      <xdr:colOff>21054</xdr:colOff>
      <xdr:row>68</xdr:row>
      <xdr:rowOff>27342</xdr:rowOff>
    </xdr:from>
    <xdr:to>
      <xdr:col>3</xdr:col>
      <xdr:colOff>239155</xdr:colOff>
      <xdr:row>69</xdr:row>
      <xdr:rowOff>7799</xdr:rowOff>
    </xdr:to>
    <xdr:sp macro="" textlink="">
      <xdr:nvSpPr>
        <xdr:cNvPr id="102" name="Text Box 4">
          <a:hlinkClick xmlns:r="http://schemas.openxmlformats.org/officeDocument/2006/relationships" r:id="rId44"/>
          <a:extLst>
            <a:ext uri="{FF2B5EF4-FFF2-40B4-BE49-F238E27FC236}">
              <a16:creationId xmlns:a16="http://schemas.microsoft.com/office/drawing/2014/main" id="{00000000-0008-0000-0100-000066000000}"/>
            </a:ext>
          </a:extLst>
        </xdr:cNvPr>
        <xdr:cNvSpPr txBox="1">
          <a:spLocks noChangeArrowheads="1"/>
        </xdr:cNvSpPr>
      </xdr:nvSpPr>
      <xdr:spPr bwMode="auto">
        <a:xfrm>
          <a:off x="4167230" y="9283401"/>
          <a:ext cx="219456" cy="146304"/>
        </a:xfrm>
        <a:prstGeom prst="rect">
          <a:avLst/>
        </a:prstGeom>
        <a:solidFill>
          <a:schemeClr val="accent1"/>
        </a:solidFill>
        <a:ln w="9525">
          <a:noFill/>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FFFFFF"/>
              </a:solidFill>
              <a:latin typeface="Arial"/>
              <a:cs typeface="Arial"/>
            </a:rPr>
            <a:t>+</a:t>
          </a:r>
        </a:p>
      </xdr:txBody>
    </xdr:sp>
    <xdr:clientData/>
  </xdr:twoCellAnchor>
  <xdr:twoCellAnchor>
    <xdr:from>
      <xdr:col>3</xdr:col>
      <xdr:colOff>25986</xdr:colOff>
      <xdr:row>75</xdr:row>
      <xdr:rowOff>24654</xdr:rowOff>
    </xdr:from>
    <xdr:to>
      <xdr:col>3</xdr:col>
      <xdr:colOff>244087</xdr:colOff>
      <xdr:row>75</xdr:row>
      <xdr:rowOff>169882</xdr:rowOff>
    </xdr:to>
    <xdr:sp macro="" textlink="">
      <xdr:nvSpPr>
        <xdr:cNvPr id="103" name="Text Box 4">
          <a:hlinkClick xmlns:r="http://schemas.openxmlformats.org/officeDocument/2006/relationships" r:id="rId45"/>
          <a:extLst>
            <a:ext uri="{FF2B5EF4-FFF2-40B4-BE49-F238E27FC236}">
              <a16:creationId xmlns:a16="http://schemas.microsoft.com/office/drawing/2014/main" id="{00000000-0008-0000-0100-000067000000}"/>
            </a:ext>
          </a:extLst>
        </xdr:cNvPr>
        <xdr:cNvSpPr txBox="1">
          <a:spLocks noChangeArrowheads="1"/>
        </xdr:cNvSpPr>
      </xdr:nvSpPr>
      <xdr:spPr bwMode="auto">
        <a:xfrm>
          <a:off x="4171266" y="9968754"/>
          <a:ext cx="219456" cy="146304"/>
        </a:xfrm>
        <a:prstGeom prst="rect">
          <a:avLst/>
        </a:prstGeom>
        <a:solidFill>
          <a:schemeClr val="accent1"/>
        </a:solidFill>
        <a:ln w="9525">
          <a:noFill/>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FFFFFF"/>
              </a:solidFill>
              <a:latin typeface="Arial"/>
              <a:cs typeface="Arial"/>
            </a:rPr>
            <a:t>+</a:t>
          </a:r>
        </a:p>
      </xdr:txBody>
    </xdr:sp>
    <xdr:clientData/>
  </xdr:twoCellAnchor>
  <xdr:twoCellAnchor>
    <xdr:from>
      <xdr:col>3</xdr:col>
      <xdr:colOff>24642</xdr:colOff>
      <xdr:row>76</xdr:row>
      <xdr:rowOff>23760</xdr:rowOff>
    </xdr:from>
    <xdr:to>
      <xdr:col>3</xdr:col>
      <xdr:colOff>242743</xdr:colOff>
      <xdr:row>76</xdr:row>
      <xdr:rowOff>168540</xdr:rowOff>
    </xdr:to>
    <xdr:sp macro="" textlink="">
      <xdr:nvSpPr>
        <xdr:cNvPr id="104" name="Text Box 4">
          <a:hlinkClick xmlns:r="http://schemas.openxmlformats.org/officeDocument/2006/relationships" r:id="rId46"/>
          <a:extLst>
            <a:ext uri="{FF2B5EF4-FFF2-40B4-BE49-F238E27FC236}">
              <a16:creationId xmlns:a16="http://schemas.microsoft.com/office/drawing/2014/main" id="{00000000-0008-0000-0100-000068000000}"/>
            </a:ext>
          </a:extLst>
        </xdr:cNvPr>
        <xdr:cNvSpPr txBox="1">
          <a:spLocks noChangeArrowheads="1"/>
        </xdr:cNvSpPr>
      </xdr:nvSpPr>
      <xdr:spPr bwMode="auto">
        <a:xfrm>
          <a:off x="4170818" y="10153878"/>
          <a:ext cx="219456" cy="146304"/>
        </a:xfrm>
        <a:prstGeom prst="rect">
          <a:avLst/>
        </a:prstGeom>
        <a:solidFill>
          <a:schemeClr val="accent1"/>
        </a:solidFill>
        <a:ln w="9525">
          <a:noFill/>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FFFFFF"/>
              </a:solidFill>
              <a:latin typeface="Arial"/>
              <a:cs typeface="Arial"/>
            </a:rPr>
            <a:t>+</a:t>
          </a:r>
        </a:p>
      </xdr:txBody>
    </xdr:sp>
    <xdr:clientData/>
  </xdr:twoCellAnchor>
  <xdr:twoCellAnchor>
    <xdr:from>
      <xdr:col>3</xdr:col>
      <xdr:colOff>22398</xdr:colOff>
      <xdr:row>77</xdr:row>
      <xdr:rowOff>8520</xdr:rowOff>
    </xdr:from>
    <xdr:to>
      <xdr:col>3</xdr:col>
      <xdr:colOff>240499</xdr:colOff>
      <xdr:row>77</xdr:row>
      <xdr:rowOff>162952</xdr:rowOff>
    </xdr:to>
    <xdr:sp macro="" textlink="">
      <xdr:nvSpPr>
        <xdr:cNvPr id="105" name="Text Box 4">
          <a:hlinkClick xmlns:r="http://schemas.openxmlformats.org/officeDocument/2006/relationships" r:id="rId47"/>
          <a:extLst>
            <a:ext uri="{FF2B5EF4-FFF2-40B4-BE49-F238E27FC236}">
              <a16:creationId xmlns:a16="http://schemas.microsoft.com/office/drawing/2014/main" id="{00000000-0008-0000-0100-000069000000}"/>
            </a:ext>
          </a:extLst>
        </xdr:cNvPr>
        <xdr:cNvSpPr txBox="1">
          <a:spLocks noChangeArrowheads="1"/>
        </xdr:cNvSpPr>
      </xdr:nvSpPr>
      <xdr:spPr bwMode="auto">
        <a:xfrm>
          <a:off x="4168574" y="10321069"/>
          <a:ext cx="219456" cy="146304"/>
        </a:xfrm>
        <a:prstGeom prst="rect">
          <a:avLst/>
        </a:prstGeom>
        <a:solidFill>
          <a:schemeClr val="accent1"/>
        </a:solidFill>
        <a:ln w="9525">
          <a:noFill/>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FFFFFF"/>
              </a:solidFill>
              <a:latin typeface="Arial"/>
              <a:cs typeface="Arial"/>
            </a:rPr>
            <a:t>+</a:t>
          </a:r>
        </a:p>
      </xdr:txBody>
    </xdr:sp>
    <xdr:clientData/>
  </xdr:twoCellAnchor>
  <mc:AlternateContent xmlns:mc="http://schemas.openxmlformats.org/markup-compatibility/2006">
    <mc:Choice xmlns:a14="http://schemas.microsoft.com/office/drawing/2010/main" Requires="a14">
      <xdr:twoCellAnchor editAs="oneCell">
        <xdr:from>
          <xdr:col>8</xdr:col>
          <xdr:colOff>1013460</xdr:colOff>
          <xdr:row>77</xdr:row>
          <xdr:rowOff>30480</xdr:rowOff>
        </xdr:from>
        <xdr:to>
          <xdr:col>14</xdr:col>
          <xdr:colOff>22860</xdr:colOff>
          <xdr:row>78</xdr:row>
          <xdr:rowOff>7620</xdr:rowOff>
        </xdr:to>
        <xdr:sp macro="" textlink="">
          <xdr:nvSpPr>
            <xdr:cNvPr id="788685" name="Check Box 18637" hidden="1">
              <a:extLst>
                <a:ext uri="{63B3BB69-23CF-44E3-9099-C40C66FF867C}">
                  <a14:compatExt spid="_x0000_s788685"/>
                </a:ext>
                <a:ext uri="{FF2B5EF4-FFF2-40B4-BE49-F238E27FC236}">
                  <a16:creationId xmlns:a16="http://schemas.microsoft.com/office/drawing/2014/main" id="{00000000-0008-0000-0100-0000CD080C00}"/>
                </a:ext>
              </a:extLst>
            </xdr:cNvPr>
            <xdr:cNvSpPr/>
          </xdr:nvSpPr>
          <xdr:spPr bwMode="auto">
            <a:xfrm>
              <a:off x="0" y="0"/>
              <a:ext cx="0" cy="0"/>
            </a:xfrm>
            <a:prstGeom prst="rect">
              <a:avLst/>
            </a:prstGeom>
            <a:noFill/>
            <a:ln>
              <a:noFill/>
            </a:ln>
            <a:extLst>
              <a:ext uri="{909E8E84-426E-40DD-AFC4-6F175D3DCCD1}">
                <a14:hiddenFill>
                  <a:solidFill>
                    <a:srgbClr val="3366FF" mc:Ignorable="a14" a14:legacySpreadsheetColorIndex="48"/>
                  </a:solidFill>
                </a14:hiddenFill>
              </a:ext>
              <a:ext uri="{91240B29-F687-4F45-9708-019B960494DF}">
                <a14:hiddenLine w="12700">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en-US" sz="800" b="0" i="0" u="none" strike="noStrike" baseline="0">
                  <a:solidFill>
                    <a:srgbClr val="000000"/>
                  </a:solidFill>
                  <a:latin typeface="Tahoma"/>
                  <a:ea typeface="Tahoma"/>
                  <a:cs typeface="Tahoma"/>
                </a:rPr>
                <a:t>Use Customer Retail Unit Cost to value real losses</a:t>
              </a:r>
            </a:p>
          </xdr:txBody>
        </xdr:sp>
        <xdr:clientData/>
      </xdr:twoCellAnchor>
    </mc:Choice>
    <mc:Fallback/>
  </mc:AlternateContent>
  <mc:AlternateContent xmlns:mc="http://schemas.openxmlformats.org/markup-compatibility/2006">
    <mc:Choice xmlns:a14="http://schemas.microsoft.com/office/drawing/2010/main" Requires="a14">
      <xdr:twoCellAnchor>
        <xdr:from>
          <xdr:col>12</xdr:col>
          <xdr:colOff>68580</xdr:colOff>
          <xdr:row>42</xdr:row>
          <xdr:rowOff>22860</xdr:rowOff>
        </xdr:from>
        <xdr:to>
          <xdr:col>12</xdr:col>
          <xdr:colOff>472440</xdr:colOff>
          <xdr:row>42</xdr:row>
          <xdr:rowOff>167640</xdr:rowOff>
        </xdr:to>
        <xdr:grpSp>
          <xdr:nvGrpSpPr>
            <xdr:cNvPr id="6043929" name="Group 3">
              <a:extLst>
                <a:ext uri="{FF2B5EF4-FFF2-40B4-BE49-F238E27FC236}">
                  <a16:creationId xmlns:a16="http://schemas.microsoft.com/office/drawing/2014/main" id="{00000000-0008-0000-0100-000019395C00}"/>
                </a:ext>
              </a:extLst>
            </xdr:cNvPr>
            <xdr:cNvGrpSpPr>
              <a:grpSpLocks/>
            </xdr:cNvGrpSpPr>
          </xdr:nvGrpSpPr>
          <xdr:grpSpPr bwMode="auto">
            <a:xfrm>
              <a:off x="8422005" y="5995035"/>
              <a:ext cx="403860" cy="135255"/>
              <a:chOff x="8618220" y="5806440"/>
              <a:chExt cx="403860" cy="144780"/>
            </a:xfrm>
          </xdr:grpSpPr>
          <xdr:sp macro="" textlink="">
            <xdr:nvSpPr>
              <xdr:cNvPr id="819594" name="Option Button 19850" hidden="1">
                <a:extLst>
                  <a:ext uri="{63B3BB69-23CF-44E3-9099-C40C66FF867C}">
                    <a14:compatExt spid="_x0000_s819594"/>
                  </a:ext>
                  <a:ext uri="{FF2B5EF4-FFF2-40B4-BE49-F238E27FC236}">
                    <a16:creationId xmlns:a16="http://schemas.microsoft.com/office/drawing/2014/main" id="{00000000-0008-0000-0100-00008A810C00}"/>
                  </a:ext>
                </a:extLst>
              </xdr:cNvPr>
              <xdr:cNvSpPr/>
            </xdr:nvSpPr>
            <xdr:spPr bwMode="auto">
              <a:xfrm>
                <a:off x="8618220" y="5806440"/>
                <a:ext cx="198120" cy="144780"/>
              </a:xfrm>
              <a:prstGeom prst="rect">
                <a:avLst/>
              </a:prstGeom>
              <a:noFill/>
              <a:ln>
                <a:noFill/>
              </a:ln>
              <a:extLst>
                <a:ext uri="{909E8E84-426E-40DD-AFC4-6F175D3DCCD1}">
                  <a14:hiddenFill>
                    <a:solidFill>
                      <a:srgbClr val="3366FF" mc:Ignorable="a14" a14:legacySpreadsheetColorIndex="48"/>
                    </a:solidFill>
                  </a14:hiddenFill>
                </a:ext>
                <a:ext uri="{91240B29-F687-4F45-9708-019B960494DF}">
                  <a14:hiddenLine w="12700">
                    <a:solidFill>
                      <a:srgbClr val="000000" mc:Ignorable="a14" a14:legacySpreadsheetColorIndex="64"/>
                    </a:solidFill>
                    <a:miter lim="800000"/>
                    <a:headEnd/>
                    <a:tailEnd/>
                  </a14:hiddenLine>
                </a:ext>
              </a:extLst>
            </xdr:spPr>
          </xdr:sp>
          <xdr:sp macro="" textlink="">
            <xdr:nvSpPr>
              <xdr:cNvPr id="819595" name="Option Button 19851" hidden="1">
                <a:extLst>
                  <a:ext uri="{63B3BB69-23CF-44E3-9099-C40C66FF867C}">
                    <a14:compatExt spid="_x0000_s819595"/>
                  </a:ext>
                  <a:ext uri="{FF2B5EF4-FFF2-40B4-BE49-F238E27FC236}">
                    <a16:creationId xmlns:a16="http://schemas.microsoft.com/office/drawing/2014/main" id="{00000000-0008-0000-0100-00008B810C00}"/>
                  </a:ext>
                </a:extLst>
              </xdr:cNvPr>
              <xdr:cNvSpPr/>
            </xdr:nvSpPr>
            <xdr:spPr bwMode="auto">
              <a:xfrm>
                <a:off x="8869680" y="5806440"/>
                <a:ext cx="152400" cy="144780"/>
              </a:xfrm>
              <a:prstGeom prst="rect">
                <a:avLst/>
              </a:prstGeom>
              <a:noFill/>
              <a:ln>
                <a:noFill/>
              </a:ln>
              <a:extLst>
                <a:ext uri="{909E8E84-426E-40DD-AFC4-6F175D3DCCD1}">
                  <a14:hiddenFill>
                    <a:solidFill>
                      <a:srgbClr val="3366FF" mc:Ignorable="a14" a14:legacySpreadsheetColorIndex="48"/>
                    </a:solidFill>
                  </a14:hiddenFill>
                </a:ext>
                <a:ext uri="{91240B29-F687-4F45-9708-019B960494DF}">
                  <a14:hiddenLine w="12700">
                    <a:solidFill>
                      <a:srgbClr val="000000" mc:Ignorable="a14" a14:legacySpreadsheetColorIndex="64"/>
                    </a:solidFill>
                    <a:miter lim="800000"/>
                    <a:headEnd/>
                    <a:tailEnd/>
                  </a14:hiddenLine>
                </a:ext>
              </a:extLst>
            </xdr:spPr>
          </xdr:sp>
        </xdr:grpSp>
        <xdr:clientData/>
      </xdr:twoCellAnchor>
    </mc:Choice>
    <mc:Fallback/>
  </mc:AlternateContent>
  <xdr:twoCellAnchor>
    <xdr:from>
      <xdr:col>3</xdr:col>
      <xdr:colOff>272415</xdr:colOff>
      <xdr:row>63</xdr:row>
      <xdr:rowOff>38100</xdr:rowOff>
    </xdr:from>
    <xdr:to>
      <xdr:col>3</xdr:col>
      <xdr:colOff>491871</xdr:colOff>
      <xdr:row>64</xdr:row>
      <xdr:rowOff>11151</xdr:rowOff>
    </xdr:to>
    <xdr:sp macro="" textlink="">
      <xdr:nvSpPr>
        <xdr:cNvPr id="88" name="Text Box 13">
          <a:hlinkClick xmlns:r="http://schemas.openxmlformats.org/officeDocument/2006/relationships" r:id="rId48"/>
          <a:extLst>
            <a:ext uri="{FF2B5EF4-FFF2-40B4-BE49-F238E27FC236}">
              <a16:creationId xmlns:a16="http://schemas.microsoft.com/office/drawing/2014/main" id="{00000000-0008-0000-0100-000058000000}"/>
            </a:ext>
          </a:extLst>
        </xdr:cNvPr>
        <xdr:cNvSpPr txBox="1">
          <a:spLocks noChangeArrowheads="1"/>
        </xdr:cNvSpPr>
      </xdr:nvSpPr>
      <xdr:spPr bwMode="auto">
        <a:xfrm>
          <a:off x="4450080" y="8481060"/>
          <a:ext cx="219456" cy="148096"/>
        </a:xfrm>
        <a:prstGeom prst="rect">
          <a:avLst/>
        </a:prstGeom>
        <a:solidFill>
          <a:schemeClr val="accent1"/>
        </a:solidFill>
        <a:ln w="9525">
          <a:noFill/>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FFFFFF"/>
              </a:solidFill>
              <a:latin typeface="Arial"/>
              <a:cs typeface="Arial"/>
            </a:rPr>
            <a:t>?</a:t>
          </a:r>
        </a:p>
      </xdr:txBody>
    </xdr:sp>
    <xdr:clientData/>
  </xdr:twoCellAnchor>
  <xdr:twoCellAnchor>
    <xdr:from>
      <xdr:col>2</xdr:col>
      <xdr:colOff>1188720</xdr:colOff>
      <xdr:row>10</xdr:row>
      <xdr:rowOff>0</xdr:rowOff>
    </xdr:from>
    <xdr:to>
      <xdr:col>6</xdr:col>
      <xdr:colOff>1219235</xdr:colOff>
      <xdr:row>12</xdr:row>
      <xdr:rowOff>7776</xdr:rowOff>
    </xdr:to>
    <xdr:sp macro="" textlink="">
      <xdr:nvSpPr>
        <xdr:cNvPr id="90" name="Text Box 8">
          <a:extLst>
            <a:ext uri="{FF2B5EF4-FFF2-40B4-BE49-F238E27FC236}">
              <a16:creationId xmlns:a16="http://schemas.microsoft.com/office/drawing/2014/main" id="{00000000-0008-0000-0100-00005A000000}"/>
            </a:ext>
          </a:extLst>
        </xdr:cNvPr>
        <xdr:cNvSpPr txBox="1">
          <a:spLocks noChangeArrowheads="1"/>
        </xdr:cNvSpPr>
      </xdr:nvSpPr>
      <xdr:spPr bwMode="auto">
        <a:xfrm>
          <a:off x="1402080" y="1722120"/>
          <a:ext cx="4800600" cy="365760"/>
        </a:xfrm>
        <a:prstGeom prst="rect">
          <a:avLst/>
        </a:prstGeom>
        <a:noFill/>
        <a:ln w="9525">
          <a:noFill/>
          <a:miter lim="800000"/>
          <a:headEnd/>
          <a:tailEnd/>
        </a:ln>
      </xdr:spPr>
      <xdr:txBody>
        <a:bodyPr vertOverflow="clip" wrap="square" lIns="27432" tIns="22860" rIns="27432" bIns="22860" anchor="ctr" upright="1"/>
        <a:lstStyle/>
        <a:p>
          <a:pPr algn="r" rtl="0">
            <a:defRPr sz="1000"/>
          </a:pPr>
          <a:r>
            <a:rPr lang="en-US" sz="1000" b="0" i="0" u="none" strike="noStrike" baseline="0">
              <a:solidFill>
                <a:srgbClr val="000000"/>
              </a:solidFill>
              <a:latin typeface="Arial"/>
              <a:cs typeface="Arial"/>
            </a:rPr>
            <a:t>To select the correct data grading for each input, determine the highest grade where the utility meets or exceeds </a:t>
          </a:r>
          <a:r>
            <a:rPr lang="en-US" sz="1000" b="0" i="0" u="sng" strike="noStrike" baseline="0">
              <a:solidFill>
                <a:srgbClr val="000000"/>
              </a:solidFill>
              <a:latin typeface="Arial"/>
              <a:cs typeface="Arial"/>
            </a:rPr>
            <a:t>all</a:t>
          </a:r>
          <a:r>
            <a:rPr lang="en-US" sz="1000" b="0" i="0" u="none" strike="noStrike" baseline="0">
              <a:solidFill>
                <a:srgbClr val="000000"/>
              </a:solidFill>
              <a:latin typeface="Arial"/>
              <a:cs typeface="Arial"/>
            </a:rPr>
            <a:t> criteria for that grade and all grades below it.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xdr:col>
      <xdr:colOff>3225165</xdr:colOff>
      <xdr:row>16</xdr:row>
      <xdr:rowOff>7620</xdr:rowOff>
    </xdr:from>
    <xdr:to>
      <xdr:col>2</xdr:col>
      <xdr:colOff>3457606</xdr:colOff>
      <xdr:row>16</xdr:row>
      <xdr:rowOff>162488</xdr:rowOff>
    </xdr:to>
    <xdr:sp macro="" textlink="">
      <xdr:nvSpPr>
        <xdr:cNvPr id="18" name="Text Box 53">
          <a:hlinkClick xmlns:r="http://schemas.openxmlformats.org/officeDocument/2006/relationships" r:id="rId1"/>
          <a:extLst>
            <a:ext uri="{FF2B5EF4-FFF2-40B4-BE49-F238E27FC236}">
              <a16:creationId xmlns:a16="http://schemas.microsoft.com/office/drawing/2014/main" id="{00000000-0008-0000-0200-000012000000}"/>
            </a:ext>
          </a:extLst>
        </xdr:cNvPr>
        <xdr:cNvSpPr txBox="1">
          <a:spLocks noChangeArrowheads="1"/>
        </xdr:cNvSpPr>
      </xdr:nvSpPr>
      <xdr:spPr bwMode="auto">
        <a:xfrm>
          <a:off x="3417570" y="2499360"/>
          <a:ext cx="234723" cy="162243"/>
        </a:xfrm>
        <a:prstGeom prst="rect">
          <a:avLst/>
        </a:prstGeom>
        <a:solidFill>
          <a:schemeClr val="accent1"/>
        </a:solidFill>
        <a:ln w="9525">
          <a:noFill/>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FFFFFF"/>
              </a:solidFill>
              <a:latin typeface="Arial"/>
              <a:cs typeface="Arial"/>
            </a:rPr>
            <a:t>?</a:t>
          </a:r>
        </a:p>
      </xdr:txBody>
    </xdr:sp>
    <xdr:clientData/>
  </xdr:twoCellAnchor>
  <xdr:twoCellAnchor>
    <xdr:from>
      <xdr:col>2</xdr:col>
      <xdr:colOff>2891790</xdr:colOff>
      <xdr:row>44</xdr:row>
      <xdr:rowOff>26670</xdr:rowOff>
    </xdr:from>
    <xdr:to>
      <xdr:col>2</xdr:col>
      <xdr:colOff>3124490</xdr:colOff>
      <xdr:row>44</xdr:row>
      <xdr:rowOff>182880</xdr:rowOff>
    </xdr:to>
    <xdr:sp macro="" textlink="">
      <xdr:nvSpPr>
        <xdr:cNvPr id="19" name="Text Box 54">
          <a:hlinkClick xmlns:r="http://schemas.openxmlformats.org/officeDocument/2006/relationships" r:id="rId2"/>
          <a:extLst>
            <a:ext uri="{FF2B5EF4-FFF2-40B4-BE49-F238E27FC236}">
              <a16:creationId xmlns:a16="http://schemas.microsoft.com/office/drawing/2014/main" id="{00000000-0008-0000-0200-000013000000}"/>
            </a:ext>
          </a:extLst>
        </xdr:cNvPr>
        <xdr:cNvSpPr txBox="1">
          <a:spLocks noChangeArrowheads="1"/>
        </xdr:cNvSpPr>
      </xdr:nvSpPr>
      <xdr:spPr bwMode="auto">
        <a:xfrm>
          <a:off x="3059430" y="6137910"/>
          <a:ext cx="234723" cy="156210"/>
        </a:xfrm>
        <a:prstGeom prst="rect">
          <a:avLst/>
        </a:prstGeom>
        <a:solidFill>
          <a:schemeClr val="accent1"/>
        </a:solidFill>
        <a:ln w="9525">
          <a:noFill/>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FFFFFF"/>
              </a:solidFill>
              <a:latin typeface="Arial"/>
              <a:cs typeface="Arial"/>
            </a:rPr>
            <a:t>?</a:t>
          </a:r>
        </a:p>
      </xdr:txBody>
    </xdr:sp>
    <xdr:clientData/>
  </xdr:twoCellAnchor>
  <xdr:twoCellAnchor>
    <xdr:from>
      <xdr:col>1</xdr:col>
      <xdr:colOff>76200</xdr:colOff>
      <xdr:row>47</xdr:row>
      <xdr:rowOff>0</xdr:rowOff>
    </xdr:from>
    <xdr:to>
      <xdr:col>15</xdr:col>
      <xdr:colOff>121920</xdr:colOff>
      <xdr:row>59</xdr:row>
      <xdr:rowOff>0</xdr:rowOff>
    </xdr:to>
    <xdr:sp macro="" textlink="">
      <xdr:nvSpPr>
        <xdr:cNvPr id="5695106" name="Rectangle 405">
          <a:extLst>
            <a:ext uri="{FF2B5EF4-FFF2-40B4-BE49-F238E27FC236}">
              <a16:creationId xmlns:a16="http://schemas.microsoft.com/office/drawing/2014/main" id="{00000000-0008-0000-0200-000082E65600}"/>
            </a:ext>
          </a:extLst>
        </xdr:cNvPr>
        <xdr:cNvSpPr>
          <a:spLocks noChangeArrowheads="1"/>
        </xdr:cNvSpPr>
      </xdr:nvSpPr>
      <xdr:spPr bwMode="auto">
        <a:xfrm>
          <a:off x="144780" y="6781800"/>
          <a:ext cx="10347960" cy="0"/>
        </a:xfrm>
        <a:prstGeom prst="rect">
          <a:avLst/>
        </a:prstGeom>
        <a:noFill/>
        <a:ln w="15875" algn="ctr">
          <a:solidFill>
            <a:srgbClr val="FF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xdr:col>
      <xdr:colOff>365760</xdr:colOff>
      <xdr:row>47</xdr:row>
      <xdr:rowOff>0</xdr:rowOff>
    </xdr:from>
    <xdr:to>
      <xdr:col>13</xdr:col>
      <xdr:colOff>415296</xdr:colOff>
      <xdr:row>47</xdr:row>
      <xdr:rowOff>0</xdr:rowOff>
    </xdr:to>
    <xdr:sp macro="" textlink="">
      <xdr:nvSpPr>
        <xdr:cNvPr id="35" name="AutoShape 409">
          <a:hlinkClick xmlns:r="http://schemas.openxmlformats.org/officeDocument/2006/relationships" r:id="rId3"/>
          <a:extLst>
            <a:ext uri="{FF2B5EF4-FFF2-40B4-BE49-F238E27FC236}">
              <a16:creationId xmlns:a16="http://schemas.microsoft.com/office/drawing/2014/main" id="{00000000-0008-0000-0200-000023000000}"/>
            </a:ext>
          </a:extLst>
        </xdr:cNvPr>
        <xdr:cNvSpPr>
          <a:spLocks noChangeArrowheads="1"/>
        </xdr:cNvSpPr>
      </xdr:nvSpPr>
      <xdr:spPr bwMode="auto">
        <a:xfrm>
          <a:off x="4512945" y="15695295"/>
          <a:ext cx="4918716" cy="283845"/>
        </a:xfrm>
        <a:prstGeom prst="bevel">
          <a:avLst>
            <a:gd name="adj" fmla="val 12500"/>
          </a:avLst>
        </a:prstGeom>
        <a:solidFill>
          <a:srgbClr val="3366FF"/>
        </a:solidFill>
        <a:ln w="12700">
          <a:solidFill>
            <a:srgbClr val="000000"/>
          </a:solidFill>
          <a:miter lim="800000"/>
          <a:headEnd/>
          <a:tailEnd/>
        </a:ln>
        <a:effectLst/>
      </xdr:spPr>
      <xdr:txBody>
        <a:bodyPr vertOverflow="clip" wrap="square" lIns="27432" tIns="22860" rIns="27432" bIns="0" anchor="t" upright="1"/>
        <a:lstStyle/>
        <a:p>
          <a:pPr algn="ctr" rtl="0">
            <a:defRPr sz="1000"/>
          </a:pPr>
          <a:r>
            <a:rPr lang="en-US" sz="1000" b="1" i="0" u="sng" strike="noStrike" baseline="0">
              <a:solidFill>
                <a:srgbClr val="FFFFFF"/>
              </a:solidFill>
              <a:latin typeface="Arial"/>
              <a:cs typeface="Arial"/>
            </a:rPr>
            <a:t>For more information, click here to see the Grading Matrix worksheet</a:t>
          </a:r>
        </a:p>
      </xdr:txBody>
    </xdr:sp>
    <xdr:clientData/>
  </xdr:twoCellAnchor>
  <xdr:twoCellAnchor>
    <xdr:from>
      <xdr:col>12</xdr:col>
      <xdr:colOff>241935</xdr:colOff>
      <xdr:row>1</xdr:row>
      <xdr:rowOff>220980</xdr:rowOff>
    </xdr:from>
    <xdr:to>
      <xdr:col>15</xdr:col>
      <xdr:colOff>190530</xdr:colOff>
      <xdr:row>1</xdr:row>
      <xdr:rowOff>518160</xdr:rowOff>
    </xdr:to>
    <xdr:sp macro="" textlink="">
      <xdr:nvSpPr>
        <xdr:cNvPr id="70" name="Text Box 474">
          <a:extLst>
            <a:ext uri="{FF2B5EF4-FFF2-40B4-BE49-F238E27FC236}">
              <a16:creationId xmlns:a16="http://schemas.microsoft.com/office/drawing/2014/main" id="{00000000-0008-0000-0200-000046000000}"/>
            </a:ext>
          </a:extLst>
        </xdr:cNvPr>
        <xdr:cNvSpPr txBox="1">
          <a:spLocks noChangeArrowheads="1"/>
        </xdr:cNvSpPr>
      </xdr:nvSpPr>
      <xdr:spPr bwMode="auto">
        <a:xfrm>
          <a:off x="8595360" y="304800"/>
          <a:ext cx="188214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2014,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14</xdr:col>
      <xdr:colOff>144780</xdr:colOff>
      <xdr:row>1</xdr:row>
      <xdr:rowOff>38100</xdr:rowOff>
    </xdr:from>
    <xdr:to>
      <xdr:col>15</xdr:col>
      <xdr:colOff>165803</xdr:colOff>
      <xdr:row>1</xdr:row>
      <xdr:rowOff>245745</xdr:rowOff>
    </xdr:to>
    <xdr:sp macro="" textlink="">
      <xdr:nvSpPr>
        <xdr:cNvPr id="71" name="Text Box 706">
          <a:extLst>
            <a:ext uri="{FF2B5EF4-FFF2-40B4-BE49-F238E27FC236}">
              <a16:creationId xmlns:a16="http://schemas.microsoft.com/office/drawing/2014/main" id="{00000000-0008-0000-0200-000047000000}"/>
            </a:ext>
          </a:extLst>
        </xdr:cNvPr>
        <xdr:cNvSpPr txBox="1">
          <a:spLocks noChangeArrowheads="1"/>
        </xdr:cNvSpPr>
      </xdr:nvSpPr>
      <xdr:spPr bwMode="auto">
        <a:xfrm>
          <a:off x="9852660" y="121920"/>
          <a:ext cx="609600" cy="207645"/>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US" sz="900" b="0" i="0" u="none" strike="noStrike" baseline="0">
              <a:solidFill>
                <a:srgbClr val="FFFFFF"/>
              </a:solidFill>
              <a:latin typeface="Arial"/>
              <a:cs typeface="Arial"/>
            </a:rPr>
            <a:t> WAS v5.0</a:t>
          </a:r>
          <a:endParaRPr lang="en-US" sz="1050"/>
        </a:p>
      </xdr:txBody>
    </xdr:sp>
    <xdr:clientData/>
  </xdr:twoCellAnchor>
  <xdr:twoCellAnchor editAs="oneCell">
    <xdr:from>
      <xdr:col>1</xdr:col>
      <xdr:colOff>76200</xdr:colOff>
      <xdr:row>1</xdr:row>
      <xdr:rowOff>68580</xdr:rowOff>
    </xdr:from>
    <xdr:to>
      <xdr:col>2</xdr:col>
      <xdr:colOff>350520</xdr:colOff>
      <xdr:row>1</xdr:row>
      <xdr:rowOff>480060</xdr:rowOff>
    </xdr:to>
    <xdr:pic>
      <xdr:nvPicPr>
        <xdr:cNvPr id="5695110" name="Picture 71">
          <a:hlinkClick xmlns:r="http://schemas.openxmlformats.org/officeDocument/2006/relationships" r:id="rId4"/>
          <a:extLst>
            <a:ext uri="{FF2B5EF4-FFF2-40B4-BE49-F238E27FC236}">
              <a16:creationId xmlns:a16="http://schemas.microsoft.com/office/drawing/2014/main" id="{00000000-0008-0000-0200-000086E656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44780" y="152400"/>
          <a:ext cx="403860" cy="411480"/>
        </a:xfrm>
        <a:prstGeom prst="rect">
          <a:avLst/>
        </a:prstGeom>
        <a:solidFill>
          <a:srgbClr val="1F497D">
            <a:alpha val="0"/>
          </a:srgbClr>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2171700</xdr:colOff>
      <xdr:row>25</xdr:row>
      <xdr:rowOff>30480</xdr:rowOff>
    </xdr:from>
    <xdr:to>
      <xdr:col>2</xdr:col>
      <xdr:colOff>2407920</xdr:colOff>
      <xdr:row>27</xdr:row>
      <xdr:rowOff>190500</xdr:rowOff>
    </xdr:to>
    <xdr:sp macro="" textlink="">
      <xdr:nvSpPr>
        <xdr:cNvPr id="5695111" name="Left Brace 2">
          <a:extLst>
            <a:ext uri="{FF2B5EF4-FFF2-40B4-BE49-F238E27FC236}">
              <a16:creationId xmlns:a16="http://schemas.microsoft.com/office/drawing/2014/main" id="{00000000-0008-0000-0200-000087E65600}"/>
            </a:ext>
          </a:extLst>
        </xdr:cNvPr>
        <xdr:cNvSpPr>
          <a:spLocks/>
        </xdr:cNvSpPr>
      </xdr:nvSpPr>
      <xdr:spPr bwMode="auto">
        <a:xfrm>
          <a:off x="2369820" y="3741420"/>
          <a:ext cx="236220" cy="426720"/>
        </a:xfrm>
        <a:prstGeom prst="leftBrace">
          <a:avLst>
            <a:gd name="adj1" fmla="val 8062"/>
            <a:gd name="adj2" fmla="val 50000"/>
          </a:avLst>
        </a:prstGeom>
        <a:noFill/>
        <a:ln w="12700" algn="ctr">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1691640</xdr:colOff>
      <xdr:row>31</xdr:row>
      <xdr:rowOff>7620</xdr:rowOff>
    </xdr:from>
    <xdr:to>
      <xdr:col>2</xdr:col>
      <xdr:colOff>1927860</xdr:colOff>
      <xdr:row>37</xdr:row>
      <xdr:rowOff>167640</xdr:rowOff>
    </xdr:to>
    <xdr:sp macro="" textlink="">
      <xdr:nvSpPr>
        <xdr:cNvPr id="5695112" name="Left Brace 13">
          <a:extLst>
            <a:ext uri="{FF2B5EF4-FFF2-40B4-BE49-F238E27FC236}">
              <a16:creationId xmlns:a16="http://schemas.microsoft.com/office/drawing/2014/main" id="{00000000-0008-0000-0200-000088E65600}"/>
            </a:ext>
          </a:extLst>
        </xdr:cNvPr>
        <xdr:cNvSpPr>
          <a:spLocks/>
        </xdr:cNvSpPr>
      </xdr:nvSpPr>
      <xdr:spPr bwMode="auto">
        <a:xfrm>
          <a:off x="1889760" y="4511040"/>
          <a:ext cx="236220" cy="960120"/>
        </a:xfrm>
        <a:prstGeom prst="leftBrace">
          <a:avLst>
            <a:gd name="adj1" fmla="val 8073"/>
            <a:gd name="adj2" fmla="val 50000"/>
          </a:avLst>
        </a:prstGeom>
        <a:noFill/>
        <a:ln w="12700" algn="ctr">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xdr:col>
      <xdr:colOff>758190</xdr:colOff>
      <xdr:row>25</xdr:row>
      <xdr:rowOff>106680</xdr:rowOff>
    </xdr:from>
    <xdr:to>
      <xdr:col>2</xdr:col>
      <xdr:colOff>2091690</xdr:colOff>
      <xdr:row>27</xdr:row>
      <xdr:rowOff>68580</xdr:rowOff>
    </xdr:to>
    <xdr:sp macro="" textlink="">
      <xdr:nvSpPr>
        <xdr:cNvPr id="4" name="TextBox 3">
          <a:extLst>
            <a:ext uri="{FF2B5EF4-FFF2-40B4-BE49-F238E27FC236}">
              <a16:creationId xmlns:a16="http://schemas.microsoft.com/office/drawing/2014/main" id="{00000000-0008-0000-0200-000004000000}"/>
            </a:ext>
          </a:extLst>
        </xdr:cNvPr>
        <xdr:cNvSpPr txBox="1"/>
      </xdr:nvSpPr>
      <xdr:spPr>
        <a:xfrm>
          <a:off x="937260" y="3787140"/>
          <a:ext cx="133350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US" sz="1100">
              <a:latin typeface="Arial" pitchFamily="34" charset="0"/>
              <a:cs typeface="Arial" pitchFamily="34" charset="0"/>
            </a:rPr>
            <a:t>Financial:</a:t>
          </a:r>
        </a:p>
      </xdr:txBody>
    </xdr:sp>
    <xdr:clientData/>
  </xdr:twoCellAnchor>
  <xdr:twoCellAnchor>
    <xdr:from>
      <xdr:col>1</xdr:col>
      <xdr:colOff>89535</xdr:colOff>
      <xdr:row>33</xdr:row>
      <xdr:rowOff>114300</xdr:rowOff>
    </xdr:from>
    <xdr:to>
      <xdr:col>2</xdr:col>
      <xdr:colOff>1630589</xdr:colOff>
      <xdr:row>35</xdr:row>
      <xdr:rowOff>76200</xdr:rowOff>
    </xdr:to>
    <xdr:sp macro="" textlink="">
      <xdr:nvSpPr>
        <xdr:cNvPr id="16" name="TextBox 15">
          <a:extLst>
            <a:ext uri="{FF2B5EF4-FFF2-40B4-BE49-F238E27FC236}">
              <a16:creationId xmlns:a16="http://schemas.microsoft.com/office/drawing/2014/main" id="{00000000-0008-0000-0200-000010000000}"/>
            </a:ext>
          </a:extLst>
        </xdr:cNvPr>
        <xdr:cNvSpPr txBox="1"/>
      </xdr:nvSpPr>
      <xdr:spPr>
        <a:xfrm>
          <a:off x="160020" y="4884420"/>
          <a:ext cx="1661160" cy="2286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r"/>
          <a:r>
            <a:rPr lang="en-US" sz="1100">
              <a:latin typeface="Arial" pitchFamily="34" charset="0"/>
              <a:cs typeface="Arial" pitchFamily="34" charset="0"/>
            </a:rPr>
            <a:t>Operational</a:t>
          </a:r>
          <a:r>
            <a:rPr lang="en-US" sz="1100" baseline="0">
              <a:latin typeface="Arial" pitchFamily="34" charset="0"/>
              <a:cs typeface="Arial" pitchFamily="34" charset="0"/>
            </a:rPr>
            <a:t> Efficiency</a:t>
          </a:r>
          <a:r>
            <a:rPr lang="en-US" sz="1100">
              <a:latin typeface="Arial" pitchFamily="34" charset="0"/>
              <a:cs typeface="Arial" pitchFamily="34" charset="0"/>
            </a:rPr>
            <a:t>:</a:t>
          </a: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2</xdr:col>
      <xdr:colOff>8319024</xdr:colOff>
      <xdr:row>1</xdr:row>
      <xdr:rowOff>36644</xdr:rowOff>
    </xdr:from>
    <xdr:to>
      <xdr:col>2</xdr:col>
      <xdr:colOff>8987770</xdr:colOff>
      <xdr:row>1</xdr:row>
      <xdr:rowOff>241488</xdr:rowOff>
    </xdr:to>
    <xdr:sp macro="" textlink="">
      <xdr:nvSpPr>
        <xdr:cNvPr id="7" name="Text Box 706">
          <a:extLst>
            <a:ext uri="{FF2B5EF4-FFF2-40B4-BE49-F238E27FC236}">
              <a16:creationId xmlns:a16="http://schemas.microsoft.com/office/drawing/2014/main" id="{00000000-0008-0000-0300-000007000000}"/>
            </a:ext>
          </a:extLst>
        </xdr:cNvPr>
        <xdr:cNvSpPr txBox="1">
          <a:spLocks noChangeArrowheads="1"/>
        </xdr:cNvSpPr>
      </xdr:nvSpPr>
      <xdr:spPr bwMode="auto">
        <a:xfrm>
          <a:off x="10225929" y="122369"/>
          <a:ext cx="661147" cy="204844"/>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US" sz="900" b="0" i="0" u="none" strike="noStrike" baseline="0">
              <a:solidFill>
                <a:srgbClr val="FFFFFF"/>
              </a:solidFill>
              <a:latin typeface="Arial"/>
              <a:cs typeface="Arial"/>
            </a:rPr>
            <a:t> WAS v5.0</a:t>
          </a:r>
          <a:endParaRPr lang="en-US" sz="1050"/>
        </a:p>
      </xdr:txBody>
    </xdr:sp>
    <xdr:clientData/>
  </xdr:twoCellAnchor>
  <xdr:twoCellAnchor editAs="oneCell">
    <xdr:from>
      <xdr:col>1</xdr:col>
      <xdr:colOff>60960</xdr:colOff>
      <xdr:row>1</xdr:row>
      <xdr:rowOff>53340</xdr:rowOff>
    </xdr:from>
    <xdr:to>
      <xdr:col>1</xdr:col>
      <xdr:colOff>411480</xdr:colOff>
      <xdr:row>1</xdr:row>
      <xdr:rowOff>419100</xdr:rowOff>
    </xdr:to>
    <xdr:pic>
      <xdr:nvPicPr>
        <xdr:cNvPr id="4605617" name="Picture 9">
          <a:hlinkClick xmlns:r="http://schemas.openxmlformats.org/officeDocument/2006/relationships" r:id="rId1"/>
          <a:extLst>
            <a:ext uri="{FF2B5EF4-FFF2-40B4-BE49-F238E27FC236}">
              <a16:creationId xmlns:a16="http://schemas.microsoft.com/office/drawing/2014/main" id="{00000000-0008-0000-0300-0000B14646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52400" y="144780"/>
          <a:ext cx="350520" cy="365760"/>
        </a:xfrm>
        <a:prstGeom prst="rect">
          <a:avLst/>
        </a:prstGeom>
        <a:solidFill>
          <a:srgbClr val="1F497D">
            <a:alpha val="0"/>
          </a:srgbClr>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6894978</xdr:colOff>
      <xdr:row>1</xdr:row>
      <xdr:rowOff>182320</xdr:rowOff>
    </xdr:from>
    <xdr:to>
      <xdr:col>2</xdr:col>
      <xdr:colOff>8984244</xdr:colOff>
      <xdr:row>2</xdr:row>
      <xdr:rowOff>10646</xdr:rowOff>
    </xdr:to>
    <xdr:sp macro="" textlink="">
      <xdr:nvSpPr>
        <xdr:cNvPr id="5" name="Text Box 474">
          <a:extLst>
            <a:ext uri="{FF2B5EF4-FFF2-40B4-BE49-F238E27FC236}">
              <a16:creationId xmlns:a16="http://schemas.microsoft.com/office/drawing/2014/main" id="{00000000-0008-0000-0300-000005000000}"/>
            </a:ext>
          </a:extLst>
        </xdr:cNvPr>
        <xdr:cNvSpPr txBox="1">
          <a:spLocks noChangeArrowheads="1"/>
        </xdr:cNvSpPr>
      </xdr:nvSpPr>
      <xdr:spPr bwMode="auto">
        <a:xfrm>
          <a:off x="8847603" y="268045"/>
          <a:ext cx="2028266" cy="3617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2014, </a:t>
          </a:r>
          <a:r>
            <a:rPr lang="en-US" sz="800" b="0" i="0" u="none" strike="noStrike" baseline="0">
              <a:solidFill>
                <a:srgbClr val="FFFFFF"/>
              </a:solidFill>
              <a:latin typeface="Arial"/>
              <a:cs typeface="Arial"/>
            </a:rPr>
            <a:t>All Rights Reserved.</a:t>
          </a:r>
          <a:endParaRPr lang="en-US"/>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60960</xdr:colOff>
      <xdr:row>1</xdr:row>
      <xdr:rowOff>60960</xdr:rowOff>
    </xdr:from>
    <xdr:to>
      <xdr:col>1</xdr:col>
      <xdr:colOff>419100</xdr:colOff>
      <xdr:row>2</xdr:row>
      <xdr:rowOff>99060</xdr:rowOff>
    </xdr:to>
    <xdr:pic>
      <xdr:nvPicPr>
        <xdr:cNvPr id="4790874" name="Picture 71">
          <a:hlinkClick xmlns:r="http://schemas.openxmlformats.org/officeDocument/2006/relationships" r:id="rId1"/>
          <a:extLst>
            <a:ext uri="{FF2B5EF4-FFF2-40B4-BE49-F238E27FC236}">
              <a16:creationId xmlns:a16="http://schemas.microsoft.com/office/drawing/2014/main" id="{00000000-0008-0000-0400-00005A1A49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21920" y="106680"/>
          <a:ext cx="358140" cy="350520"/>
        </a:xfrm>
        <a:prstGeom prst="rect">
          <a:avLst/>
        </a:prstGeom>
        <a:solidFill>
          <a:srgbClr val="1F497D">
            <a:alpha val="0"/>
          </a:srgbClr>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681990</xdr:colOff>
      <xdr:row>1</xdr:row>
      <xdr:rowOff>22860</xdr:rowOff>
    </xdr:from>
    <xdr:to>
      <xdr:col>7</xdr:col>
      <xdr:colOff>1325962</xdr:colOff>
      <xdr:row>1</xdr:row>
      <xdr:rowOff>238196</xdr:rowOff>
    </xdr:to>
    <xdr:sp macro="" textlink="">
      <xdr:nvSpPr>
        <xdr:cNvPr id="6" name="Text Box 706">
          <a:extLst>
            <a:ext uri="{FF2B5EF4-FFF2-40B4-BE49-F238E27FC236}">
              <a16:creationId xmlns:a16="http://schemas.microsoft.com/office/drawing/2014/main" id="{00000000-0008-0000-0400-000006000000}"/>
            </a:ext>
          </a:extLst>
        </xdr:cNvPr>
        <xdr:cNvSpPr txBox="1">
          <a:spLocks noChangeArrowheads="1"/>
        </xdr:cNvSpPr>
      </xdr:nvSpPr>
      <xdr:spPr bwMode="auto">
        <a:xfrm>
          <a:off x="9441180" y="68580"/>
          <a:ext cx="640080" cy="207645"/>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US" sz="900" b="0" i="0" u="none" strike="noStrike" baseline="0">
              <a:solidFill>
                <a:srgbClr val="FFFFFF"/>
              </a:solidFill>
              <a:latin typeface="Arial"/>
              <a:cs typeface="Arial"/>
            </a:rPr>
            <a:t> WAS v5.0</a:t>
          </a:r>
          <a:endParaRPr lang="en-US" sz="1050"/>
        </a:p>
      </xdr:txBody>
    </xdr:sp>
    <xdr:clientData/>
  </xdr:twoCellAnchor>
  <xdr:twoCellAnchor>
    <xdr:from>
      <xdr:col>6</xdr:col>
      <xdr:colOff>1863090</xdr:colOff>
      <xdr:row>1</xdr:row>
      <xdr:rowOff>220980</xdr:rowOff>
    </xdr:from>
    <xdr:to>
      <xdr:col>7</xdr:col>
      <xdr:colOff>1333474</xdr:colOff>
      <xdr:row>2</xdr:row>
      <xdr:rowOff>205740</xdr:rowOff>
    </xdr:to>
    <xdr:sp macro="" textlink="">
      <xdr:nvSpPr>
        <xdr:cNvPr id="7" name="Text Box 474">
          <a:extLst>
            <a:ext uri="{FF2B5EF4-FFF2-40B4-BE49-F238E27FC236}">
              <a16:creationId xmlns:a16="http://schemas.microsoft.com/office/drawing/2014/main" id="{00000000-0008-0000-0400-000007000000}"/>
            </a:ext>
          </a:extLst>
        </xdr:cNvPr>
        <xdr:cNvSpPr txBox="1">
          <a:spLocks noChangeArrowheads="1"/>
        </xdr:cNvSpPr>
      </xdr:nvSpPr>
      <xdr:spPr bwMode="auto">
        <a:xfrm>
          <a:off x="7856220" y="266700"/>
          <a:ext cx="223266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2014, </a:t>
          </a:r>
          <a:r>
            <a:rPr lang="en-US" sz="800" b="0" i="0" u="none" strike="noStrike" baseline="0">
              <a:solidFill>
                <a:srgbClr val="FFFFFF"/>
              </a:solidFill>
              <a:latin typeface="Arial"/>
              <a:cs typeface="Arial"/>
            </a:rPr>
            <a:t>All Rights Reserved.</a:t>
          </a:r>
          <a:endParaRPr lang="en-US"/>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1175385</xdr:colOff>
      <xdr:row>28</xdr:row>
      <xdr:rowOff>57150</xdr:rowOff>
    </xdr:from>
    <xdr:to>
      <xdr:col>8</xdr:col>
      <xdr:colOff>262904</xdr:colOff>
      <xdr:row>31</xdr:row>
      <xdr:rowOff>66675</xdr:rowOff>
    </xdr:to>
    <xdr:sp macro="" textlink="">
      <xdr:nvSpPr>
        <xdr:cNvPr id="17420" name="Text Box 12">
          <a:extLst>
            <a:ext uri="{FF2B5EF4-FFF2-40B4-BE49-F238E27FC236}">
              <a16:creationId xmlns:a16="http://schemas.microsoft.com/office/drawing/2014/main" id="{00000000-0008-0000-0500-00000C440000}"/>
            </a:ext>
          </a:extLst>
        </xdr:cNvPr>
        <xdr:cNvSpPr txBox="1">
          <a:spLocks noChangeArrowheads="1"/>
        </xdr:cNvSpPr>
      </xdr:nvSpPr>
      <xdr:spPr bwMode="auto">
        <a:xfrm>
          <a:off x="1323975" y="6029325"/>
          <a:ext cx="7010400" cy="495300"/>
        </a:xfrm>
        <a:prstGeom prst="rect">
          <a:avLst/>
        </a:prstGeom>
        <a:solidFill>
          <a:srgbClr val="FFFFFF"/>
        </a:solidFill>
        <a:ln w="12700" algn="ctr">
          <a:solidFill>
            <a:srgbClr val="000000"/>
          </a:solidFill>
          <a:miter lim="800000"/>
          <a:headEnd/>
          <a:tailEnd/>
        </a:ln>
        <a:effectLst/>
      </xdr:spPr>
      <xdr:txBody>
        <a:bodyPr vertOverflow="clip" wrap="square" lIns="54864" tIns="45720" rIns="54864" bIns="0" anchor="t" upright="1"/>
        <a:lstStyle/>
        <a:p>
          <a:pPr algn="ctr" rtl="0">
            <a:defRPr sz="1000"/>
          </a:pPr>
          <a:r>
            <a:rPr lang="en-US" sz="2600" b="0" i="0" u="none" strike="noStrike" baseline="0">
              <a:solidFill>
                <a:srgbClr val="000000"/>
              </a:solidFill>
              <a:latin typeface="Arial"/>
              <a:cs typeface="Arial"/>
            </a:rPr>
            <a:t>This worksheet will be hidden from the user</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11</xdr:col>
      <xdr:colOff>274320</xdr:colOff>
      <xdr:row>6</xdr:row>
      <xdr:rowOff>30480</xdr:rowOff>
    </xdr:from>
    <xdr:to>
      <xdr:col>16</xdr:col>
      <xdr:colOff>167640</xdr:colOff>
      <xdr:row>36</xdr:row>
      <xdr:rowOff>60960</xdr:rowOff>
    </xdr:to>
    <xdr:graphicFrame macro="">
      <xdr:nvGraphicFramePr>
        <xdr:cNvPr id="6018127" name="Chart 15">
          <a:extLst>
            <a:ext uri="{FF2B5EF4-FFF2-40B4-BE49-F238E27FC236}">
              <a16:creationId xmlns:a16="http://schemas.microsoft.com/office/drawing/2014/main" id="{00000000-0008-0000-0600-00004FD45B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14</xdr:col>
      <xdr:colOff>666750</xdr:colOff>
      <xdr:row>1</xdr:row>
      <xdr:rowOff>30480</xdr:rowOff>
    </xdr:from>
    <xdr:to>
      <xdr:col>15</xdr:col>
      <xdr:colOff>569720</xdr:colOff>
      <xdr:row>1</xdr:row>
      <xdr:rowOff>238125</xdr:rowOff>
    </xdr:to>
    <xdr:sp macro="" textlink="">
      <xdr:nvSpPr>
        <xdr:cNvPr id="4" name="Text Box 706">
          <a:extLst>
            <a:ext uri="{FF2B5EF4-FFF2-40B4-BE49-F238E27FC236}">
              <a16:creationId xmlns:a16="http://schemas.microsoft.com/office/drawing/2014/main" id="{00000000-0008-0000-0600-000004000000}"/>
            </a:ext>
          </a:extLst>
        </xdr:cNvPr>
        <xdr:cNvSpPr txBox="1">
          <a:spLocks noChangeArrowheads="1"/>
        </xdr:cNvSpPr>
      </xdr:nvSpPr>
      <xdr:spPr bwMode="auto">
        <a:xfrm>
          <a:off x="10988040" y="121920"/>
          <a:ext cx="609600" cy="207645"/>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WAS v5.0</a:t>
          </a:r>
          <a:endParaRPr lang="en-US" sz="1050"/>
        </a:p>
      </xdr:txBody>
    </xdr:sp>
    <xdr:clientData/>
  </xdr:twoCellAnchor>
  <xdr:twoCellAnchor editAs="oneCell">
    <xdr:from>
      <xdr:col>1</xdr:col>
      <xdr:colOff>68580</xdr:colOff>
      <xdr:row>1</xdr:row>
      <xdr:rowOff>68580</xdr:rowOff>
    </xdr:from>
    <xdr:to>
      <xdr:col>1</xdr:col>
      <xdr:colOff>480060</xdr:colOff>
      <xdr:row>1</xdr:row>
      <xdr:rowOff>480060</xdr:rowOff>
    </xdr:to>
    <xdr:pic>
      <xdr:nvPicPr>
        <xdr:cNvPr id="6018129" name="Picture 9">
          <a:hlinkClick xmlns:r="http://schemas.openxmlformats.org/officeDocument/2006/relationships" r:id="rId2"/>
          <a:extLst>
            <a:ext uri="{FF2B5EF4-FFF2-40B4-BE49-F238E27FC236}">
              <a16:creationId xmlns:a16="http://schemas.microsoft.com/office/drawing/2014/main" id="{00000000-0008-0000-0600-000051D45B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37160" y="160020"/>
          <a:ext cx="411480" cy="411480"/>
        </a:xfrm>
        <a:prstGeom prst="rect">
          <a:avLst/>
        </a:prstGeom>
        <a:solidFill>
          <a:srgbClr val="1F497D">
            <a:alpha val="0"/>
          </a:srgbClr>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142875</xdr:colOff>
      <xdr:row>1</xdr:row>
      <xdr:rowOff>213360</xdr:rowOff>
    </xdr:from>
    <xdr:to>
      <xdr:col>15</xdr:col>
      <xdr:colOff>605844</xdr:colOff>
      <xdr:row>1</xdr:row>
      <xdr:rowOff>510540</xdr:rowOff>
    </xdr:to>
    <xdr:sp macro="" textlink="">
      <xdr:nvSpPr>
        <xdr:cNvPr id="6" name="Text Box 474">
          <a:extLst>
            <a:ext uri="{FF2B5EF4-FFF2-40B4-BE49-F238E27FC236}">
              <a16:creationId xmlns:a16="http://schemas.microsoft.com/office/drawing/2014/main" id="{00000000-0008-0000-0600-000006000000}"/>
            </a:ext>
          </a:extLst>
        </xdr:cNvPr>
        <xdr:cNvSpPr txBox="1">
          <a:spLocks noChangeArrowheads="1"/>
        </xdr:cNvSpPr>
      </xdr:nvSpPr>
      <xdr:spPr bwMode="auto">
        <a:xfrm>
          <a:off x="9761220" y="304800"/>
          <a:ext cx="188214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2014, </a:t>
          </a:r>
          <a:r>
            <a:rPr lang="en-US" sz="800" b="0" i="0" u="none" strike="noStrike" baseline="0">
              <a:solidFill>
                <a:srgbClr val="FFFFFF"/>
              </a:solidFill>
              <a:latin typeface="Arial"/>
              <a:cs typeface="Arial"/>
            </a:rPr>
            <a:t>All Rights Reserved.</a:t>
          </a:r>
          <a:endParaRPr lang="en-US"/>
        </a:p>
      </xdr:txBody>
    </xdr:sp>
    <xdr:clientData/>
  </xdr:twoCellAnchor>
  <xdr:twoCellAnchor>
    <xdr:from>
      <xdr:col>4</xdr:col>
      <xdr:colOff>403860</xdr:colOff>
      <xdr:row>6</xdr:row>
      <xdr:rowOff>45720</xdr:rowOff>
    </xdr:from>
    <xdr:to>
      <xdr:col>6</xdr:col>
      <xdr:colOff>655320</xdr:colOff>
      <xdr:row>36</xdr:row>
      <xdr:rowOff>68580</xdr:rowOff>
    </xdr:to>
    <xdr:graphicFrame macro="">
      <xdr:nvGraphicFramePr>
        <xdr:cNvPr id="6018131" name="Chart 4">
          <a:extLst>
            <a:ext uri="{FF2B5EF4-FFF2-40B4-BE49-F238E27FC236}">
              <a16:creationId xmlns:a16="http://schemas.microsoft.com/office/drawing/2014/main" id="{00000000-0008-0000-0600-000053D45B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45720</xdr:colOff>
      <xdr:row>6</xdr:row>
      <xdr:rowOff>45720</xdr:rowOff>
    </xdr:from>
    <xdr:to>
      <xdr:col>2</xdr:col>
      <xdr:colOff>807720</xdr:colOff>
      <xdr:row>36</xdr:row>
      <xdr:rowOff>68580</xdr:rowOff>
    </xdr:to>
    <xdr:graphicFrame macro="">
      <xdr:nvGraphicFramePr>
        <xdr:cNvPr id="6018132" name="Chart 8">
          <a:extLst>
            <a:ext uri="{FF2B5EF4-FFF2-40B4-BE49-F238E27FC236}">
              <a16:creationId xmlns:a16="http://schemas.microsoft.com/office/drawing/2014/main" id="{00000000-0008-0000-0600-000054D45B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419100</xdr:colOff>
      <xdr:row>6</xdr:row>
      <xdr:rowOff>45720</xdr:rowOff>
    </xdr:from>
    <xdr:to>
      <xdr:col>9</xdr:col>
      <xdr:colOff>99060</xdr:colOff>
      <xdr:row>36</xdr:row>
      <xdr:rowOff>68580</xdr:rowOff>
    </xdr:to>
    <xdr:graphicFrame macro="">
      <xdr:nvGraphicFramePr>
        <xdr:cNvPr id="6018133" name="Chart 9">
          <a:extLst>
            <a:ext uri="{FF2B5EF4-FFF2-40B4-BE49-F238E27FC236}">
              <a16:creationId xmlns:a16="http://schemas.microsoft.com/office/drawing/2014/main" id="{00000000-0008-0000-0600-000055D45B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548640</xdr:colOff>
      <xdr:row>6</xdr:row>
      <xdr:rowOff>45720</xdr:rowOff>
    </xdr:from>
    <xdr:to>
      <xdr:col>11</xdr:col>
      <xdr:colOff>236220</xdr:colOff>
      <xdr:row>36</xdr:row>
      <xdr:rowOff>68580</xdr:rowOff>
    </xdr:to>
    <xdr:graphicFrame macro="">
      <xdr:nvGraphicFramePr>
        <xdr:cNvPr id="6018134" name="Chart 10">
          <a:extLst>
            <a:ext uri="{FF2B5EF4-FFF2-40B4-BE49-F238E27FC236}">
              <a16:creationId xmlns:a16="http://schemas.microsoft.com/office/drawing/2014/main" id="{00000000-0008-0000-0600-000056D45B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mc:AlternateContent xmlns:mc="http://schemas.openxmlformats.org/markup-compatibility/2006">
    <mc:Choice xmlns:a14="http://schemas.microsoft.com/office/drawing/2010/main" Requires="a14">
      <xdr:twoCellAnchor editAs="oneCell">
        <xdr:from>
          <xdr:col>12</xdr:col>
          <xdr:colOff>99060</xdr:colOff>
          <xdr:row>4</xdr:row>
          <xdr:rowOff>7620</xdr:rowOff>
        </xdr:from>
        <xdr:to>
          <xdr:col>12</xdr:col>
          <xdr:colOff>297180</xdr:colOff>
          <xdr:row>5</xdr:row>
          <xdr:rowOff>38100</xdr:rowOff>
        </xdr:to>
        <xdr:sp macro="" textlink="">
          <xdr:nvSpPr>
            <xdr:cNvPr id="1339486" name="Option Button 94" hidden="1">
              <a:extLst>
                <a:ext uri="{63B3BB69-23CF-44E3-9099-C40C66FF867C}">
                  <a14:compatExt spid="_x0000_s1339486"/>
                </a:ext>
                <a:ext uri="{FF2B5EF4-FFF2-40B4-BE49-F238E27FC236}">
                  <a16:creationId xmlns:a16="http://schemas.microsoft.com/office/drawing/2014/main" id="{00000000-0008-0000-0600-00005E701400}"/>
                </a:ext>
              </a:extLst>
            </xdr:cNvPr>
            <xdr:cNvSpPr/>
          </xdr:nvSpPr>
          <xdr:spPr bwMode="auto">
            <a:xfrm>
              <a:off x="0" y="0"/>
              <a:ext cx="0" cy="0"/>
            </a:xfrm>
            <a:prstGeom prst="rect">
              <a:avLst/>
            </a:prstGeom>
            <a:noFill/>
            <a:ln>
              <a:noFill/>
            </a:ln>
            <a:extLst>
              <a:ext uri="{909E8E84-426E-40DD-AFC4-6F175D3DCCD1}">
                <a14:hiddenFill>
                  <a:solidFill>
                    <a:srgbClr val="3366FF" mc:Ignorable="a14" a14:legacySpreadsheetColorIndex="48"/>
                  </a:solidFill>
                </a14:hiddenFill>
              </a:ext>
              <a:ext uri="{91240B29-F687-4F45-9708-019B960494DF}">
                <a14:hiddenLine w="12700">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99060</xdr:colOff>
          <xdr:row>5</xdr:row>
          <xdr:rowOff>7620</xdr:rowOff>
        </xdr:from>
        <xdr:to>
          <xdr:col>12</xdr:col>
          <xdr:colOff>297180</xdr:colOff>
          <xdr:row>6</xdr:row>
          <xdr:rowOff>22860</xdr:rowOff>
        </xdr:to>
        <xdr:sp macro="" textlink="">
          <xdr:nvSpPr>
            <xdr:cNvPr id="1339487" name="Option Button 95" hidden="1">
              <a:extLst>
                <a:ext uri="{63B3BB69-23CF-44E3-9099-C40C66FF867C}">
                  <a14:compatExt spid="_x0000_s1339487"/>
                </a:ext>
                <a:ext uri="{FF2B5EF4-FFF2-40B4-BE49-F238E27FC236}">
                  <a16:creationId xmlns:a16="http://schemas.microsoft.com/office/drawing/2014/main" id="{00000000-0008-0000-0600-00005F701400}"/>
                </a:ext>
              </a:extLst>
            </xdr:cNvPr>
            <xdr:cNvSpPr/>
          </xdr:nvSpPr>
          <xdr:spPr bwMode="auto">
            <a:xfrm>
              <a:off x="0" y="0"/>
              <a:ext cx="0" cy="0"/>
            </a:xfrm>
            <a:prstGeom prst="rect">
              <a:avLst/>
            </a:prstGeom>
            <a:noFill/>
            <a:ln>
              <a:noFill/>
            </a:ln>
            <a:extLst>
              <a:ext uri="{909E8E84-426E-40DD-AFC4-6F175D3DCCD1}">
                <a14:hiddenFill>
                  <a:solidFill>
                    <a:srgbClr val="3366FF" mc:Ignorable="a14" a14:legacySpreadsheetColorIndex="48"/>
                  </a:solidFill>
                </a14:hiddenFill>
              </a:ext>
              <a:ext uri="{91240B29-F687-4F45-9708-019B960494DF}">
                <a14:hiddenLine w="12700">
                  <a:solidFill>
                    <a:srgbClr val="000000" mc:Ignorable="a14" a14:legacySpreadsheetColorIndex="64"/>
                  </a:solidFill>
                  <a:miter lim="800000"/>
                  <a:headEnd/>
                  <a:tailEnd/>
                </a14:hiddenLine>
              </a:ext>
            </a:extLst>
          </xdr:spPr>
        </xdr:sp>
        <xdr:clientData/>
      </xdr:twoCellAnchor>
    </mc:Choice>
    <mc:Fallback/>
  </mc:AlternateContent>
  <xdr:twoCellAnchor>
    <xdr:from>
      <xdr:col>1</xdr:col>
      <xdr:colOff>38100</xdr:colOff>
      <xdr:row>2</xdr:row>
      <xdr:rowOff>45720</xdr:rowOff>
    </xdr:from>
    <xdr:to>
      <xdr:col>4</xdr:col>
      <xdr:colOff>114300</xdr:colOff>
      <xdr:row>6</xdr:row>
      <xdr:rowOff>94</xdr:rowOff>
    </xdr:to>
    <xdr:sp macro="" textlink="">
      <xdr:nvSpPr>
        <xdr:cNvPr id="2" name="TextBox 1">
          <a:extLst>
            <a:ext uri="{FF2B5EF4-FFF2-40B4-BE49-F238E27FC236}">
              <a16:creationId xmlns:a16="http://schemas.microsoft.com/office/drawing/2014/main" id="{00000000-0008-0000-0600-000002000000}"/>
            </a:ext>
          </a:extLst>
        </xdr:cNvPr>
        <xdr:cNvSpPr txBox="1"/>
      </xdr:nvSpPr>
      <xdr:spPr>
        <a:xfrm>
          <a:off x="137160" y="678180"/>
          <a:ext cx="2994660" cy="62484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050"/>
            <a:t>The graphic below is a visual representation</a:t>
          </a:r>
          <a:r>
            <a:rPr lang="en-US" sz="1050" baseline="0"/>
            <a:t> of the Water Balance with bar heights propotional to the volume of the audit components</a:t>
          </a:r>
          <a:endParaRPr lang="en-US" sz="1050"/>
        </a:p>
      </xdr:txBody>
    </xdr:sp>
    <xdr:clientData/>
  </xdr:twoCellAnchor>
  <xdr:twoCellAnchor>
    <xdr:from>
      <xdr:col>2</xdr:col>
      <xdr:colOff>769620</xdr:colOff>
      <xdr:row>6</xdr:row>
      <xdr:rowOff>45720</xdr:rowOff>
    </xdr:from>
    <xdr:to>
      <xdr:col>4</xdr:col>
      <xdr:colOff>563880</xdr:colOff>
      <xdr:row>36</xdr:row>
      <xdr:rowOff>68580</xdr:rowOff>
    </xdr:to>
    <xdr:graphicFrame macro="">
      <xdr:nvGraphicFramePr>
        <xdr:cNvPr id="6018136" name="Chart 6">
          <a:extLst>
            <a:ext uri="{FF2B5EF4-FFF2-40B4-BE49-F238E27FC236}">
              <a16:creationId xmlns:a16="http://schemas.microsoft.com/office/drawing/2014/main" id="{00000000-0008-0000-0600-000058D45B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5</xdr:col>
      <xdr:colOff>1716405</xdr:colOff>
      <xdr:row>2</xdr:row>
      <xdr:rowOff>45721</xdr:rowOff>
    </xdr:from>
    <xdr:to>
      <xdr:col>5</xdr:col>
      <xdr:colOff>2255520</xdr:colOff>
      <xdr:row>2</xdr:row>
      <xdr:rowOff>190501</xdr:rowOff>
    </xdr:to>
    <xdr:sp macro="" textlink="">
      <xdr:nvSpPr>
        <xdr:cNvPr id="5" name="Text Box 34">
          <a:extLst>
            <a:ext uri="{FF2B5EF4-FFF2-40B4-BE49-F238E27FC236}">
              <a16:creationId xmlns:a16="http://schemas.microsoft.com/office/drawing/2014/main" id="{00000000-0008-0000-0700-000005000000}"/>
            </a:ext>
          </a:extLst>
        </xdr:cNvPr>
        <xdr:cNvSpPr txBox="1">
          <a:spLocks noChangeArrowheads="1"/>
        </xdr:cNvSpPr>
      </xdr:nvSpPr>
      <xdr:spPr bwMode="auto">
        <a:xfrm>
          <a:off x="5419725" y="403861"/>
          <a:ext cx="539115" cy="144780"/>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US" sz="800" b="0" i="0" u="none" strike="noStrike" baseline="0">
              <a:solidFill>
                <a:srgbClr val="FFFFFF"/>
              </a:solidFill>
              <a:latin typeface="Arial"/>
              <a:cs typeface="Arial"/>
            </a:rPr>
            <a:t> WAS 5.0</a:t>
          </a:r>
          <a:endParaRPr lang="en-US"/>
        </a:p>
      </xdr:txBody>
    </xdr:sp>
    <xdr:clientData/>
  </xdr:twoCellAnchor>
  <xdr:twoCellAnchor>
    <xdr:from>
      <xdr:col>2</xdr:col>
      <xdr:colOff>60960</xdr:colOff>
      <xdr:row>1</xdr:row>
      <xdr:rowOff>53340</xdr:rowOff>
    </xdr:from>
    <xdr:to>
      <xdr:col>2</xdr:col>
      <xdr:colOff>350520</xdr:colOff>
      <xdr:row>2</xdr:row>
      <xdr:rowOff>30480</xdr:rowOff>
    </xdr:to>
    <xdr:pic>
      <xdr:nvPicPr>
        <xdr:cNvPr id="6024224" name="Picture 71">
          <a:hlinkClick xmlns:r="http://schemas.openxmlformats.org/officeDocument/2006/relationships" r:id="rId1"/>
          <a:extLst>
            <a:ext uri="{FF2B5EF4-FFF2-40B4-BE49-F238E27FC236}">
              <a16:creationId xmlns:a16="http://schemas.microsoft.com/office/drawing/2014/main" id="{00000000-0008-0000-0700-000020EC5B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52400" y="114300"/>
          <a:ext cx="289560" cy="266700"/>
        </a:xfrm>
        <a:prstGeom prst="rect">
          <a:avLst/>
        </a:prstGeom>
        <a:solidFill>
          <a:srgbClr val="1F497D">
            <a:alpha val="0"/>
          </a:srgbClr>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1015365</xdr:colOff>
      <xdr:row>1</xdr:row>
      <xdr:rowOff>22860</xdr:rowOff>
    </xdr:from>
    <xdr:to>
      <xdr:col>13</xdr:col>
      <xdr:colOff>1550642</xdr:colOff>
      <xdr:row>1</xdr:row>
      <xdr:rowOff>166132</xdr:rowOff>
    </xdr:to>
    <xdr:sp macro="" textlink="">
      <xdr:nvSpPr>
        <xdr:cNvPr id="7" name="Text Box 34">
          <a:extLst>
            <a:ext uri="{FF2B5EF4-FFF2-40B4-BE49-F238E27FC236}">
              <a16:creationId xmlns:a16="http://schemas.microsoft.com/office/drawing/2014/main" id="{00000000-0008-0000-0700-000007000000}"/>
            </a:ext>
          </a:extLst>
        </xdr:cNvPr>
        <xdr:cNvSpPr txBox="1">
          <a:spLocks noChangeArrowheads="1"/>
        </xdr:cNvSpPr>
      </xdr:nvSpPr>
      <xdr:spPr bwMode="auto">
        <a:xfrm>
          <a:off x="13601700" y="83820"/>
          <a:ext cx="539115" cy="144780"/>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US" sz="800" b="0" i="0" u="none" strike="noStrike" baseline="0">
              <a:solidFill>
                <a:srgbClr val="FFFFFF"/>
              </a:solidFill>
              <a:latin typeface="Arial"/>
              <a:cs typeface="Arial"/>
            </a:rPr>
            <a:t> WAS 5.0</a:t>
          </a:r>
          <a:endParaRPr lang="en-US"/>
        </a:p>
      </xdr:txBody>
    </xdr:sp>
    <xdr:clientData/>
  </xdr:twoCellAnchor>
  <xdr:twoCellAnchor>
    <xdr:from>
      <xdr:col>10</xdr:col>
      <xdr:colOff>561975</xdr:colOff>
      <xdr:row>1</xdr:row>
      <xdr:rowOff>190500</xdr:rowOff>
    </xdr:from>
    <xdr:to>
      <xdr:col>13</xdr:col>
      <xdr:colOff>1546860</xdr:colOff>
      <xdr:row>2</xdr:row>
      <xdr:rowOff>60960</xdr:rowOff>
    </xdr:to>
    <xdr:sp macro="" textlink="">
      <xdr:nvSpPr>
        <xdr:cNvPr id="8" name="Text Box 474">
          <a:extLst>
            <a:ext uri="{FF2B5EF4-FFF2-40B4-BE49-F238E27FC236}">
              <a16:creationId xmlns:a16="http://schemas.microsoft.com/office/drawing/2014/main" id="{00000000-0008-0000-0700-000008000000}"/>
            </a:ext>
          </a:extLst>
        </xdr:cNvPr>
        <xdr:cNvSpPr txBox="1">
          <a:spLocks noChangeArrowheads="1"/>
        </xdr:cNvSpPr>
      </xdr:nvSpPr>
      <xdr:spPr bwMode="auto">
        <a:xfrm>
          <a:off x="10393680" y="251460"/>
          <a:ext cx="37414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  </a:t>
          </a:r>
          <a:r>
            <a:rPr kumimoji="0" lang="en-US" sz="800" b="0" i="0" u="none" strike="noStrike" kern="0" cap="none" spc="0" normalizeH="0" baseline="0" noProof="0">
              <a:ln>
                <a:noFill/>
              </a:ln>
              <a:solidFill>
                <a:srgbClr val="FFFFFF"/>
              </a:solidFill>
              <a:effectLst/>
              <a:uLnTx/>
              <a:uFillTx/>
              <a:latin typeface="Arial"/>
              <a:ea typeface="+mn-ea"/>
              <a:cs typeface="Arial"/>
            </a:rPr>
            <a:t>Copyright © 2014, </a:t>
          </a:r>
          <a:r>
            <a:rPr lang="en-US" sz="800" b="0" i="0" u="none" strike="noStrike" baseline="0">
              <a:solidFill>
                <a:srgbClr val="FFFFFF"/>
              </a:solidFill>
              <a:latin typeface="Arial"/>
              <a:cs typeface="Arial"/>
            </a:rPr>
            <a:t>All Rights Reserved.</a:t>
          </a:r>
          <a:endParaRPr lang="en-US"/>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769620</xdr:colOff>
      <xdr:row>3</xdr:row>
      <xdr:rowOff>38100</xdr:rowOff>
    </xdr:from>
    <xdr:to>
      <xdr:col>4</xdr:col>
      <xdr:colOff>3848100</xdr:colOff>
      <xdr:row>9</xdr:row>
      <xdr:rowOff>213360</xdr:rowOff>
    </xdr:to>
    <xdr:pic>
      <xdr:nvPicPr>
        <xdr:cNvPr id="5708413" name="Picture 22" descr="Meter-at-curb-stop">
          <a:extLst>
            <a:ext uri="{FF2B5EF4-FFF2-40B4-BE49-F238E27FC236}">
              <a16:creationId xmlns:a16="http://schemas.microsoft.com/office/drawing/2014/main" id="{00000000-0008-0000-0800-00007D1A57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03120" y="647700"/>
          <a:ext cx="5448300" cy="2964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769620</xdr:colOff>
      <xdr:row>9</xdr:row>
      <xdr:rowOff>228600</xdr:rowOff>
    </xdr:from>
    <xdr:to>
      <xdr:col>4</xdr:col>
      <xdr:colOff>3855720</xdr:colOff>
      <xdr:row>16</xdr:row>
      <xdr:rowOff>30480</xdr:rowOff>
    </xdr:to>
    <xdr:pic>
      <xdr:nvPicPr>
        <xdr:cNvPr id="5708414" name="Picture 23" descr="Meter-Inside-Property">
          <a:extLst>
            <a:ext uri="{FF2B5EF4-FFF2-40B4-BE49-F238E27FC236}">
              <a16:creationId xmlns:a16="http://schemas.microsoft.com/office/drawing/2014/main" id="{00000000-0008-0000-0800-00007E1A5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103120" y="3627120"/>
          <a:ext cx="5455920" cy="3055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784860</xdr:colOff>
      <xdr:row>16</xdr:row>
      <xdr:rowOff>45720</xdr:rowOff>
    </xdr:from>
    <xdr:to>
      <xdr:col>4</xdr:col>
      <xdr:colOff>3848100</xdr:colOff>
      <xdr:row>22</xdr:row>
      <xdr:rowOff>426720</xdr:rowOff>
    </xdr:to>
    <xdr:pic>
      <xdr:nvPicPr>
        <xdr:cNvPr id="5708415" name="Picture 24" descr="Unmetered">
          <a:extLst>
            <a:ext uri="{FF2B5EF4-FFF2-40B4-BE49-F238E27FC236}">
              <a16:creationId xmlns:a16="http://schemas.microsoft.com/office/drawing/2014/main" id="{00000000-0008-0000-0800-00007F1A57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118360" y="6697980"/>
          <a:ext cx="5433060" cy="3169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106680</xdr:colOff>
      <xdr:row>3</xdr:row>
      <xdr:rowOff>281940</xdr:rowOff>
    </xdr:from>
    <xdr:to>
      <xdr:col>2</xdr:col>
      <xdr:colOff>643878</xdr:colOff>
      <xdr:row>19</xdr:row>
      <xdr:rowOff>266700</xdr:rowOff>
    </xdr:to>
    <xdr:sp macro="" textlink="">
      <xdr:nvSpPr>
        <xdr:cNvPr id="28714" name="Text Box 26">
          <a:extLst>
            <a:ext uri="{FF2B5EF4-FFF2-40B4-BE49-F238E27FC236}">
              <a16:creationId xmlns:a16="http://schemas.microsoft.com/office/drawing/2014/main" id="{00000000-0008-0000-0800-00002A700000}"/>
            </a:ext>
          </a:extLst>
        </xdr:cNvPr>
        <xdr:cNvSpPr txBox="1">
          <a:spLocks noChangeArrowheads="1"/>
        </xdr:cNvSpPr>
      </xdr:nvSpPr>
      <xdr:spPr bwMode="auto">
        <a:xfrm>
          <a:off x="167640" y="998220"/>
          <a:ext cx="1813560" cy="7421880"/>
        </a:xfrm>
        <a:prstGeom prst="rect">
          <a:avLst/>
        </a:prstGeom>
        <a:solidFill>
          <a:srgbClr val="FFFFFF"/>
        </a:solidFill>
        <a:ln w="12700" algn="ctr">
          <a:solidFill>
            <a:srgbClr val="000000"/>
          </a:solidFill>
          <a:miter lim="800000"/>
          <a:headEnd/>
          <a:tailEnd/>
        </a:ln>
      </xdr:spPr>
      <xdr:txBody>
        <a:bodyPr vertOverflow="clip" wrap="square" lIns="27432" tIns="22860" rIns="0" bIns="0" anchor="t"/>
        <a:lstStyle/>
        <a:p>
          <a:pPr algn="l" rtl="0">
            <a:defRPr sz="1000"/>
          </a:pPr>
          <a:r>
            <a:rPr lang="en-US" sz="1000" b="1" i="0" u="none" strike="noStrike" baseline="0">
              <a:solidFill>
                <a:srgbClr val="000000"/>
              </a:solidFill>
              <a:latin typeface="Arial"/>
              <a:cs typeface="Arial"/>
            </a:rPr>
            <a:t>Average Length of Customer Service Line</a:t>
          </a: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The three figures shown on this worksheet display the assignment of the Average Length of Customer Service Line, Lp, for the three most common piping configurations.</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Figure 1</a:t>
          </a:r>
          <a:r>
            <a:rPr lang="en-US" sz="1000" b="0" i="0" u="none" strike="noStrike" baseline="0">
              <a:solidFill>
                <a:srgbClr val="000000"/>
              </a:solidFill>
              <a:latin typeface="Arial"/>
              <a:cs typeface="Arial"/>
            </a:rPr>
            <a:t> shows the configuration of the water meter outside of the customer building next to the curb stop valve.  In this configuration Lp = 0 since the distance between the curb stop and the customer metering point is essentially zero.</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Figure 2</a:t>
          </a:r>
          <a:r>
            <a:rPr lang="en-US" sz="1000" b="0" i="0" u="none" strike="noStrike" baseline="0">
              <a:solidFill>
                <a:srgbClr val="000000"/>
              </a:solidFill>
              <a:latin typeface="Arial"/>
              <a:cs typeface="Arial"/>
            </a:rPr>
            <a:t> shows the configuration of the customer water meter located inside the customer building, where Lp is the distance from the curb stop to the water meter.</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Figure 3</a:t>
          </a:r>
          <a:r>
            <a:rPr lang="en-US" sz="1000" b="0" i="0" u="none" strike="noStrike" baseline="0">
              <a:solidFill>
                <a:srgbClr val="000000"/>
              </a:solidFill>
              <a:latin typeface="Arial"/>
              <a:cs typeface="Arial"/>
            </a:rPr>
            <a:t> shows the configuration of an unmetered customer building , where Lp is the distance from the curb stop to the first point of customer water consumption, or, more simply, the building line.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any water system the Lp will vary notably in a community of different structures, therefore the average Lp value is used and this should be approximated or calculated if a sample of service line measurements has been gathered.  </a:t>
          </a:r>
          <a:endParaRPr lang="en-US"/>
        </a:p>
      </xdr:txBody>
    </xdr:sp>
    <xdr:clientData/>
  </xdr:twoCellAnchor>
  <xdr:twoCellAnchor>
    <xdr:from>
      <xdr:col>2</xdr:col>
      <xdr:colOff>838200</xdr:colOff>
      <xdr:row>8</xdr:row>
      <xdr:rowOff>295275</xdr:rowOff>
    </xdr:from>
    <xdr:to>
      <xdr:col>3</xdr:col>
      <xdr:colOff>497228</xdr:colOff>
      <xdr:row>9</xdr:row>
      <xdr:rowOff>125778</xdr:rowOff>
    </xdr:to>
    <xdr:sp macro="" textlink="">
      <xdr:nvSpPr>
        <xdr:cNvPr id="28703" name="Text Box 31">
          <a:extLst>
            <a:ext uri="{FF2B5EF4-FFF2-40B4-BE49-F238E27FC236}">
              <a16:creationId xmlns:a16="http://schemas.microsoft.com/office/drawing/2014/main" id="{00000000-0008-0000-0800-00001F700000}"/>
            </a:ext>
          </a:extLst>
        </xdr:cNvPr>
        <xdr:cNvSpPr txBox="1">
          <a:spLocks noChangeArrowheads="1"/>
        </xdr:cNvSpPr>
      </xdr:nvSpPr>
      <xdr:spPr bwMode="auto">
        <a:xfrm>
          <a:off x="2124075" y="3352800"/>
          <a:ext cx="800100" cy="304800"/>
        </a:xfrm>
        <a:prstGeom prst="rect">
          <a:avLst/>
        </a:prstGeom>
        <a:noFill/>
        <a:ln w="12700" algn="ctr">
          <a:noFill/>
          <a:miter lim="800000"/>
          <a:headEnd/>
          <a:tailEnd/>
        </a:ln>
        <a:effectLst/>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Figure 1</a:t>
          </a:r>
        </a:p>
      </xdr:txBody>
    </xdr:sp>
    <xdr:clientData/>
  </xdr:twoCellAnchor>
  <xdr:twoCellAnchor>
    <xdr:from>
      <xdr:col>2</xdr:col>
      <xdr:colOff>874395</xdr:colOff>
      <xdr:row>15</xdr:row>
      <xdr:rowOff>76200</xdr:rowOff>
    </xdr:from>
    <xdr:to>
      <xdr:col>3</xdr:col>
      <xdr:colOff>520362</xdr:colOff>
      <xdr:row>15</xdr:row>
      <xdr:rowOff>381000</xdr:rowOff>
    </xdr:to>
    <xdr:sp macro="" textlink="">
      <xdr:nvSpPr>
        <xdr:cNvPr id="28704" name="Text Box 32">
          <a:extLst>
            <a:ext uri="{FF2B5EF4-FFF2-40B4-BE49-F238E27FC236}">
              <a16:creationId xmlns:a16="http://schemas.microsoft.com/office/drawing/2014/main" id="{00000000-0008-0000-0800-000020700000}"/>
            </a:ext>
          </a:extLst>
        </xdr:cNvPr>
        <xdr:cNvSpPr txBox="1">
          <a:spLocks noChangeArrowheads="1"/>
        </xdr:cNvSpPr>
      </xdr:nvSpPr>
      <xdr:spPr bwMode="auto">
        <a:xfrm>
          <a:off x="2152650" y="6400800"/>
          <a:ext cx="800100" cy="304800"/>
        </a:xfrm>
        <a:prstGeom prst="rect">
          <a:avLst/>
        </a:prstGeom>
        <a:noFill/>
        <a:ln w="12700" algn="ctr">
          <a:noFill/>
          <a:miter lim="800000"/>
          <a:headEnd/>
          <a:tailEnd/>
        </a:ln>
        <a:effectLst/>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Figure 2</a:t>
          </a:r>
        </a:p>
      </xdr:txBody>
    </xdr:sp>
    <xdr:clientData/>
  </xdr:twoCellAnchor>
  <xdr:twoCellAnchor>
    <xdr:from>
      <xdr:col>2</xdr:col>
      <xdr:colOff>912495</xdr:colOff>
      <xdr:row>21</xdr:row>
      <xdr:rowOff>457200</xdr:rowOff>
    </xdr:from>
    <xdr:to>
      <xdr:col>3</xdr:col>
      <xdr:colOff>564023</xdr:colOff>
      <xdr:row>22</xdr:row>
      <xdr:rowOff>295275</xdr:rowOff>
    </xdr:to>
    <xdr:sp macro="" textlink="">
      <xdr:nvSpPr>
        <xdr:cNvPr id="28705" name="Text Box 33">
          <a:extLst>
            <a:ext uri="{FF2B5EF4-FFF2-40B4-BE49-F238E27FC236}">
              <a16:creationId xmlns:a16="http://schemas.microsoft.com/office/drawing/2014/main" id="{00000000-0008-0000-0800-000021700000}"/>
            </a:ext>
          </a:extLst>
        </xdr:cNvPr>
        <xdr:cNvSpPr txBox="1">
          <a:spLocks noChangeArrowheads="1"/>
        </xdr:cNvSpPr>
      </xdr:nvSpPr>
      <xdr:spPr bwMode="auto">
        <a:xfrm>
          <a:off x="2190750" y="9582150"/>
          <a:ext cx="800100" cy="304800"/>
        </a:xfrm>
        <a:prstGeom prst="rect">
          <a:avLst/>
        </a:prstGeom>
        <a:noFill/>
        <a:ln w="12700" algn="ctr">
          <a:noFill/>
          <a:miter lim="800000"/>
          <a:headEnd/>
          <a:tailEnd/>
        </a:ln>
        <a:effectLst/>
      </xdr:spPr>
      <xdr:txBody>
        <a:bodyPr vertOverflow="clip" wrap="square" lIns="27432" tIns="22860" rIns="27432" bIns="22860" anchor="ctr" upright="1"/>
        <a:lstStyle/>
        <a:p>
          <a:pPr algn="ctr" rtl="0">
            <a:defRPr sz="1000"/>
          </a:pPr>
          <a:r>
            <a:rPr lang="en-US" sz="1000" b="0" i="0" u="none" strike="noStrike" baseline="0">
              <a:solidFill>
                <a:srgbClr val="000000"/>
              </a:solidFill>
              <a:latin typeface="Arial"/>
              <a:cs typeface="Arial"/>
            </a:rPr>
            <a:t>Figure 3</a:t>
          </a:r>
        </a:p>
      </xdr:txBody>
    </xdr:sp>
    <xdr:clientData/>
  </xdr:twoCellAnchor>
  <xdr:twoCellAnchor>
    <xdr:from>
      <xdr:col>4</xdr:col>
      <xdr:colOff>2312670</xdr:colOff>
      <xdr:row>2</xdr:row>
      <xdr:rowOff>45720</xdr:rowOff>
    </xdr:from>
    <xdr:to>
      <xdr:col>5</xdr:col>
      <xdr:colOff>61082</xdr:colOff>
      <xdr:row>2</xdr:row>
      <xdr:rowOff>367711</xdr:rowOff>
    </xdr:to>
    <xdr:sp macro="" textlink="">
      <xdr:nvSpPr>
        <xdr:cNvPr id="17" name="Text Box 474">
          <a:extLst>
            <a:ext uri="{FF2B5EF4-FFF2-40B4-BE49-F238E27FC236}">
              <a16:creationId xmlns:a16="http://schemas.microsoft.com/office/drawing/2014/main" id="{00000000-0008-0000-0800-000011000000}"/>
            </a:ext>
          </a:extLst>
        </xdr:cNvPr>
        <xdr:cNvSpPr txBox="1">
          <a:spLocks noChangeArrowheads="1"/>
        </xdr:cNvSpPr>
      </xdr:nvSpPr>
      <xdr:spPr bwMode="auto">
        <a:xfrm>
          <a:off x="6012180" y="289560"/>
          <a:ext cx="184404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2014,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4</xdr:col>
      <xdr:colOff>3501390</xdr:colOff>
      <xdr:row>1</xdr:row>
      <xdr:rowOff>53340</xdr:rowOff>
    </xdr:from>
    <xdr:to>
      <xdr:col>5</xdr:col>
      <xdr:colOff>44936</xdr:colOff>
      <xdr:row>2</xdr:row>
      <xdr:rowOff>9430</xdr:rowOff>
    </xdr:to>
    <xdr:sp macro="" textlink="">
      <xdr:nvSpPr>
        <xdr:cNvPr id="18" name="Text Box 706">
          <a:extLst>
            <a:ext uri="{FF2B5EF4-FFF2-40B4-BE49-F238E27FC236}">
              <a16:creationId xmlns:a16="http://schemas.microsoft.com/office/drawing/2014/main" id="{00000000-0008-0000-0800-000012000000}"/>
            </a:ext>
          </a:extLst>
        </xdr:cNvPr>
        <xdr:cNvSpPr txBox="1">
          <a:spLocks noChangeArrowheads="1"/>
        </xdr:cNvSpPr>
      </xdr:nvSpPr>
      <xdr:spPr bwMode="auto">
        <a:xfrm>
          <a:off x="7208520" y="99060"/>
          <a:ext cx="632460" cy="154305"/>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US" sz="900" b="0" i="0" u="none" strike="noStrike" baseline="0">
              <a:solidFill>
                <a:srgbClr val="FFFFFF"/>
              </a:solidFill>
              <a:latin typeface="Arial"/>
              <a:cs typeface="Arial"/>
            </a:rPr>
            <a:t> WAS v5.0</a:t>
          </a:r>
          <a:endParaRPr lang="en-US" sz="1050"/>
        </a:p>
      </xdr:txBody>
    </xdr:sp>
    <xdr:clientData/>
  </xdr:twoCellAnchor>
  <xdr:twoCellAnchor editAs="oneCell">
    <xdr:from>
      <xdr:col>1</xdr:col>
      <xdr:colOff>76200</xdr:colOff>
      <xdr:row>1</xdr:row>
      <xdr:rowOff>76200</xdr:rowOff>
    </xdr:from>
    <xdr:to>
      <xdr:col>1</xdr:col>
      <xdr:colOff>487680</xdr:colOff>
      <xdr:row>2</xdr:row>
      <xdr:rowOff>297180</xdr:rowOff>
    </xdr:to>
    <xdr:pic>
      <xdr:nvPicPr>
        <xdr:cNvPr id="5708422" name="Picture 71">
          <a:hlinkClick xmlns:r="http://schemas.openxmlformats.org/officeDocument/2006/relationships" r:id="rId4"/>
          <a:extLst>
            <a:ext uri="{FF2B5EF4-FFF2-40B4-BE49-F238E27FC236}">
              <a16:creationId xmlns:a16="http://schemas.microsoft.com/office/drawing/2014/main" id="{00000000-0008-0000-0800-0000861A57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37160" y="121920"/>
          <a:ext cx="411480" cy="411480"/>
        </a:xfrm>
        <a:prstGeom prst="rect">
          <a:avLst/>
        </a:prstGeom>
        <a:solidFill>
          <a:srgbClr val="1F497D">
            <a:alpha val="0"/>
          </a:srgbClr>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386715</xdr:colOff>
      <xdr:row>20</xdr:row>
      <xdr:rowOff>320040</xdr:rowOff>
    </xdr:from>
    <xdr:to>
      <xdr:col>2</xdr:col>
      <xdr:colOff>401955</xdr:colOff>
      <xdr:row>22</xdr:row>
      <xdr:rowOff>38100</xdr:rowOff>
    </xdr:to>
    <xdr:sp macro="" textlink="">
      <xdr:nvSpPr>
        <xdr:cNvPr id="3" name="Rounded Rectangle 2">
          <a:hlinkClick xmlns:r="http://schemas.openxmlformats.org/officeDocument/2006/relationships" r:id="rId6"/>
          <a:extLst>
            <a:ext uri="{FF2B5EF4-FFF2-40B4-BE49-F238E27FC236}">
              <a16:creationId xmlns:a16="http://schemas.microsoft.com/office/drawing/2014/main" id="{00000000-0008-0000-0800-000003000000}"/>
            </a:ext>
          </a:extLst>
        </xdr:cNvPr>
        <xdr:cNvSpPr/>
      </xdr:nvSpPr>
      <xdr:spPr bwMode="auto">
        <a:xfrm>
          <a:off x="449580" y="8831580"/>
          <a:ext cx="1280160" cy="647700"/>
        </a:xfrm>
        <a:prstGeom prst="roundRect">
          <a:avLst/>
        </a:prstGeom>
        <a:solidFill>
          <a:schemeClr val="accent1"/>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200">
              <a:solidFill>
                <a:schemeClr val="bg1"/>
              </a:solidFill>
            </a:rPr>
            <a:t>Click</a:t>
          </a:r>
          <a:r>
            <a:rPr lang="en-US" sz="1200" baseline="0">
              <a:solidFill>
                <a:schemeClr val="bg1"/>
              </a:solidFill>
            </a:rPr>
            <a:t> for more information</a:t>
          </a:r>
          <a:endParaRPr lang="en-US" sz="1200">
            <a:solidFill>
              <a:schemeClr val="bg1"/>
            </a:solidFill>
          </a:endParaRP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ln w="12700"/>
        <a:effectLst>
          <a:outerShdw blurRad="63500" dist="101600" dir="13740000" rotWithShape="0">
            <a:prstClr val="black">
              <a:alpha val="40000"/>
            </a:prstClr>
          </a:outerShdw>
        </a:effectLst>
      </a:spPr>
      <a:bodyPr vertOverflow="clip" horzOverflow="clip" rtlCol="0" anchor="t"/>
      <a:lstStyle>
        <a:defPPr algn="ctr">
          <a:lnSpc>
            <a:spcPts val="1200"/>
          </a:lnSpc>
          <a:defRPr sz="1100" b="1" i="1" u="sng">
            <a:solidFill>
              <a:schemeClr val="dk1"/>
            </a:solidFill>
            <a:effectLst/>
            <a:latin typeface="+mn-lt"/>
            <a:ea typeface="+mn-ea"/>
            <a:cs typeface="+mn-cs"/>
          </a:defRPr>
        </a:defPPr>
      </a:lstStyle>
      <a:style>
        <a:lnRef idx="2">
          <a:schemeClr val="accent1"/>
        </a:lnRef>
        <a:fillRef idx="1">
          <a:schemeClr val="lt1"/>
        </a:fillRef>
        <a:effectRef idx="0">
          <a:schemeClr val="accent1"/>
        </a:effectRef>
        <a:fontRef idx="minor">
          <a:schemeClr val="dk1"/>
        </a:fontRef>
      </a:style>
    </a:spDef>
    <a:lnDef>
      <a:spPr bwMode="auto">
        <a:xfrm>
          <a:off x="0" y="0"/>
          <a:ext cx="1" cy="1"/>
        </a:xfrm>
        <a:custGeom>
          <a:avLst/>
          <a:gdLst/>
          <a:ahLst/>
          <a:cxnLst/>
          <a:rect l="0" t="0" r="0" b="0"/>
          <a:pathLst/>
        </a:custGeom>
        <a:solidFill>
          <a:srgbClr val="3366FF"/>
        </a:solidFill>
        <a:ln w="12700"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wlc@awwa.org" TargetMode="External"/><Relationship Id="rId6" Type="http://schemas.openxmlformats.org/officeDocument/2006/relationships/ctrlProp" Target="../ctrlProps/ctrlProp2.xml"/><Relationship Id="rId5" Type="http://schemas.openxmlformats.org/officeDocument/2006/relationships/ctrlProp" Target="../ctrlProps/ctrlProp1.xml"/><Relationship Id="rId4"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7.xml"/><Relationship Id="rId13" Type="http://schemas.openxmlformats.org/officeDocument/2006/relationships/ctrlProp" Target="../ctrlProps/ctrlProp12.xml"/><Relationship Id="rId18" Type="http://schemas.openxmlformats.org/officeDocument/2006/relationships/ctrlProp" Target="../ctrlProps/ctrlProp17.xml"/><Relationship Id="rId3" Type="http://schemas.openxmlformats.org/officeDocument/2006/relationships/vmlDrawing" Target="../drawings/vmlDrawing2.vml"/><Relationship Id="rId21" Type="http://schemas.openxmlformats.org/officeDocument/2006/relationships/ctrlProp" Target="../ctrlProps/ctrlProp20.xml"/><Relationship Id="rId7" Type="http://schemas.openxmlformats.org/officeDocument/2006/relationships/ctrlProp" Target="../ctrlProps/ctrlProp6.xml"/><Relationship Id="rId12" Type="http://schemas.openxmlformats.org/officeDocument/2006/relationships/ctrlProp" Target="../ctrlProps/ctrlProp11.xml"/><Relationship Id="rId17" Type="http://schemas.openxmlformats.org/officeDocument/2006/relationships/ctrlProp" Target="../ctrlProps/ctrlProp16.xml"/><Relationship Id="rId25" Type="http://schemas.openxmlformats.org/officeDocument/2006/relationships/comments" Target="../comments1.xml"/><Relationship Id="rId2" Type="http://schemas.openxmlformats.org/officeDocument/2006/relationships/drawing" Target="../drawings/drawing2.xml"/><Relationship Id="rId16" Type="http://schemas.openxmlformats.org/officeDocument/2006/relationships/ctrlProp" Target="../ctrlProps/ctrlProp15.xml"/><Relationship Id="rId20" Type="http://schemas.openxmlformats.org/officeDocument/2006/relationships/ctrlProp" Target="../ctrlProps/ctrlProp19.xml"/><Relationship Id="rId1" Type="http://schemas.openxmlformats.org/officeDocument/2006/relationships/printerSettings" Target="../printerSettings/printerSettings2.bin"/><Relationship Id="rId6" Type="http://schemas.openxmlformats.org/officeDocument/2006/relationships/ctrlProp" Target="../ctrlProps/ctrlProp5.xml"/><Relationship Id="rId11" Type="http://schemas.openxmlformats.org/officeDocument/2006/relationships/ctrlProp" Target="../ctrlProps/ctrlProp10.xml"/><Relationship Id="rId24" Type="http://schemas.openxmlformats.org/officeDocument/2006/relationships/ctrlProp" Target="../ctrlProps/ctrlProp23.xml"/><Relationship Id="rId5" Type="http://schemas.openxmlformats.org/officeDocument/2006/relationships/ctrlProp" Target="../ctrlProps/ctrlProp4.xml"/><Relationship Id="rId15" Type="http://schemas.openxmlformats.org/officeDocument/2006/relationships/ctrlProp" Target="../ctrlProps/ctrlProp14.xml"/><Relationship Id="rId23" Type="http://schemas.openxmlformats.org/officeDocument/2006/relationships/ctrlProp" Target="../ctrlProps/ctrlProp22.xml"/><Relationship Id="rId10" Type="http://schemas.openxmlformats.org/officeDocument/2006/relationships/ctrlProp" Target="../ctrlProps/ctrlProp9.xml"/><Relationship Id="rId19" Type="http://schemas.openxmlformats.org/officeDocument/2006/relationships/ctrlProp" Target="../ctrlProps/ctrlProp18.xml"/><Relationship Id="rId4" Type="http://schemas.openxmlformats.org/officeDocument/2006/relationships/ctrlProp" Target="../ctrlProps/ctrlProp3.xml"/><Relationship Id="rId9" Type="http://schemas.openxmlformats.org/officeDocument/2006/relationships/ctrlProp" Target="../ctrlProps/ctrlProp8.xml"/><Relationship Id="rId14" Type="http://schemas.openxmlformats.org/officeDocument/2006/relationships/ctrlProp" Target="../ctrlProps/ctrlProp13.xml"/><Relationship Id="rId22" Type="http://schemas.openxmlformats.org/officeDocument/2006/relationships/ctrlProp" Target="../ctrlProps/ctrlProp2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7.xml"/><Relationship Id="rId1" Type="http://schemas.openxmlformats.org/officeDocument/2006/relationships/printerSettings" Target="../printerSettings/printerSettings7.bin"/><Relationship Id="rId5" Type="http://schemas.openxmlformats.org/officeDocument/2006/relationships/ctrlProp" Target="../ctrlProps/ctrlProp25.xml"/><Relationship Id="rId4" Type="http://schemas.openxmlformats.org/officeDocument/2006/relationships/ctrlProp" Target="../ctrlProps/ctrlProp24.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tabColor theme="3" tint="0.79998168889431442"/>
    <pageSetUpPr fitToPage="1"/>
  </sheetPr>
  <dimension ref="A1:IU69"/>
  <sheetViews>
    <sheetView showRowColHeaders="0" tabSelected="1" zoomScaleNormal="100" workbookViewId="0">
      <pane ySplit="3" topLeftCell="A7" activePane="bottomLeft" state="frozen"/>
      <selection pane="bottomLeft"/>
    </sheetView>
  </sheetViews>
  <sheetFormatPr defaultColWidth="0" defaultRowHeight="13.2" zeroHeight="1"/>
  <cols>
    <col min="1" max="1" width="1.6640625" style="245" customWidth="1"/>
    <col min="2" max="2" width="1.5546875" style="245" customWidth="1"/>
    <col min="3" max="3" width="20.6640625" style="245" customWidth="1"/>
    <col min="4" max="4" width="12.33203125" style="245" customWidth="1"/>
    <col min="5" max="5" width="13.6640625" style="245" customWidth="1"/>
    <col min="6" max="6" width="11.6640625" style="245" customWidth="1"/>
    <col min="7" max="7" width="20" style="245" customWidth="1"/>
    <col min="8" max="8" width="1" style="245" customWidth="1"/>
    <col min="9" max="9" width="3.6640625" style="245" customWidth="1"/>
    <col min="10" max="10" width="14.33203125" style="245" customWidth="1"/>
    <col min="11" max="11" width="2" style="245" customWidth="1"/>
    <col min="12" max="12" width="10.88671875" style="245" customWidth="1"/>
    <col min="13" max="13" width="8.6640625" style="245" customWidth="1"/>
    <col min="14" max="14" width="9" style="245" customWidth="1"/>
    <col min="15" max="15" width="12.5546875" style="245" customWidth="1"/>
    <col min="16" max="16" width="1.5546875" style="245" customWidth="1"/>
    <col min="17" max="17" width="1.6640625" style="245" customWidth="1"/>
    <col min="18" max="18" width="1.44140625" style="245" customWidth="1"/>
    <col min="19" max="19" width="9.109375" style="245" hidden="1" customWidth="1"/>
    <col min="20" max="20" width="10" style="245" hidden="1" customWidth="1"/>
    <col min="21" max="255" width="8.88671875" style="245" hidden="1" customWidth="1"/>
    <col min="256" max="16384" width="3.33203125" style="245" hidden="1"/>
  </cols>
  <sheetData>
    <row r="1" spans="1:21" s="64" customFormat="1" ht="8.25" customHeight="1" thickBot="1">
      <c r="A1" s="284">
        <v>5.2</v>
      </c>
      <c r="B1" s="283"/>
      <c r="C1" s="283"/>
      <c r="D1" s="283"/>
      <c r="E1" s="283"/>
      <c r="F1" s="283"/>
      <c r="G1" s="283"/>
      <c r="H1" s="283"/>
      <c r="I1" s="283"/>
      <c r="J1" s="283"/>
      <c r="K1" s="283"/>
      <c r="L1" s="283"/>
      <c r="M1" s="283"/>
      <c r="N1" s="283"/>
      <c r="O1" s="283"/>
      <c r="P1" s="283"/>
      <c r="Q1" s="283"/>
      <c r="R1" s="283"/>
    </row>
    <row r="2" spans="1:21" s="244" customFormat="1" ht="42.6" customHeight="1" thickTop="1">
      <c r="A2" s="285"/>
      <c r="B2" s="681" t="s">
        <v>754</v>
      </c>
      <c r="C2" s="682"/>
      <c r="D2" s="682"/>
      <c r="E2" s="682"/>
      <c r="F2" s="682"/>
      <c r="G2" s="682"/>
      <c r="H2" s="682"/>
      <c r="I2" s="682"/>
      <c r="J2" s="682"/>
      <c r="K2" s="682"/>
      <c r="L2" s="682"/>
      <c r="M2" s="682"/>
      <c r="N2" s="682"/>
      <c r="O2" s="682"/>
      <c r="P2" s="682"/>
      <c r="Q2" s="683"/>
      <c r="R2" s="285"/>
    </row>
    <row r="3" spans="1:21" s="64" customFormat="1" ht="5.25" customHeight="1">
      <c r="A3" s="283"/>
      <c r="B3" s="541"/>
      <c r="C3" s="268"/>
      <c r="D3" s="268"/>
      <c r="E3" s="268"/>
      <c r="F3" s="268"/>
      <c r="G3" s="268"/>
      <c r="H3" s="268"/>
      <c r="I3" s="268"/>
      <c r="J3" s="268"/>
      <c r="K3" s="268"/>
      <c r="L3" s="268"/>
      <c r="M3" s="268"/>
      <c r="N3" s="268"/>
      <c r="O3" s="268"/>
      <c r="P3" s="268"/>
      <c r="Q3" s="542"/>
      <c r="R3" s="283"/>
      <c r="U3" s="64" t="s">
        <v>459</v>
      </c>
    </row>
    <row r="4" spans="1:21" s="64" customFormat="1" ht="13.2" customHeight="1">
      <c r="A4" s="283"/>
      <c r="B4" s="543"/>
      <c r="C4" s="670" t="s">
        <v>331</v>
      </c>
      <c r="D4" s="670"/>
      <c r="E4" s="670"/>
      <c r="F4" s="670"/>
      <c r="G4" s="670"/>
      <c r="H4" s="670"/>
      <c r="I4" s="670"/>
      <c r="J4" s="670"/>
      <c r="K4" s="670"/>
      <c r="L4" s="670"/>
      <c r="M4" s="670"/>
      <c r="N4" s="670"/>
      <c r="O4" s="670"/>
      <c r="P4" s="291"/>
      <c r="Q4" s="544"/>
      <c r="R4" s="283"/>
      <c r="U4" s="64" t="s">
        <v>394</v>
      </c>
    </row>
    <row r="5" spans="1:21" s="64" customFormat="1">
      <c r="A5" s="283"/>
      <c r="B5" s="543"/>
      <c r="C5" s="670"/>
      <c r="D5" s="670"/>
      <c r="E5" s="670"/>
      <c r="F5" s="670"/>
      <c r="G5" s="670"/>
      <c r="H5" s="670"/>
      <c r="I5" s="670"/>
      <c r="J5" s="670"/>
      <c r="K5" s="670"/>
      <c r="L5" s="670"/>
      <c r="M5" s="670"/>
      <c r="N5" s="670"/>
      <c r="O5" s="670"/>
      <c r="P5" s="291"/>
      <c r="Q5" s="544"/>
      <c r="R5" s="283"/>
      <c r="U5" s="64" t="s">
        <v>395</v>
      </c>
    </row>
    <row r="6" spans="1:21" s="64" customFormat="1" ht="36.6" customHeight="1">
      <c r="A6" s="283"/>
      <c r="B6" s="543"/>
      <c r="C6" s="685" t="s">
        <v>662</v>
      </c>
      <c r="D6" s="685"/>
      <c r="E6" s="685"/>
      <c r="F6" s="685"/>
      <c r="G6" s="685"/>
      <c r="H6" s="685"/>
      <c r="I6" s="685"/>
      <c r="J6" s="685"/>
      <c r="K6" s="685"/>
      <c r="L6" s="685"/>
      <c r="M6" s="685"/>
      <c r="N6" s="685"/>
      <c r="O6" s="685"/>
      <c r="P6" s="290"/>
      <c r="Q6" s="545"/>
      <c r="R6" s="283"/>
      <c r="U6" s="64" t="s">
        <v>396</v>
      </c>
    </row>
    <row r="7" spans="1:21" s="64" customFormat="1" ht="16.2" customHeight="1">
      <c r="A7" s="283"/>
      <c r="B7" s="546"/>
      <c r="C7" s="670" t="s">
        <v>339</v>
      </c>
      <c r="D7" s="670"/>
      <c r="E7" s="670"/>
      <c r="F7" s="670"/>
      <c r="G7" s="670"/>
      <c r="H7" s="670"/>
      <c r="I7" s="670"/>
      <c r="J7" s="670"/>
      <c r="K7" s="670"/>
      <c r="L7" s="670"/>
      <c r="M7" s="670"/>
      <c r="N7" s="670"/>
      <c r="O7" s="670"/>
      <c r="P7" s="290"/>
      <c r="Q7" s="545"/>
      <c r="R7" s="283"/>
      <c r="U7" s="64" t="s">
        <v>397</v>
      </c>
    </row>
    <row r="8" spans="1:21" s="64" customFormat="1" ht="14.4" customHeight="1">
      <c r="A8" s="283"/>
      <c r="B8" s="541"/>
      <c r="C8" s="268"/>
      <c r="D8" s="268"/>
      <c r="E8" s="268"/>
      <c r="F8" s="268"/>
      <c r="G8" s="268"/>
      <c r="H8" s="268"/>
      <c r="I8" s="268"/>
      <c r="J8" s="268"/>
      <c r="K8" s="268"/>
      <c r="L8" s="268"/>
      <c r="M8" s="268"/>
      <c r="N8" s="268"/>
      <c r="O8" s="268"/>
      <c r="P8" s="268"/>
      <c r="Q8" s="542"/>
      <c r="R8" s="283"/>
      <c r="U8" s="64" t="s">
        <v>398</v>
      </c>
    </row>
    <row r="9" spans="1:21" s="64" customFormat="1" ht="5.25" customHeight="1">
      <c r="A9" s="283"/>
      <c r="B9" s="541"/>
      <c r="C9" s="268"/>
      <c r="D9" s="268"/>
      <c r="E9" s="268"/>
      <c r="F9" s="268"/>
      <c r="G9" s="268"/>
      <c r="H9" s="268"/>
      <c r="I9" s="268"/>
      <c r="J9" s="268"/>
      <c r="K9" s="268"/>
      <c r="L9" s="268"/>
      <c r="M9" s="268"/>
      <c r="N9" s="268"/>
      <c r="O9" s="268"/>
      <c r="P9" s="268"/>
      <c r="Q9" s="542"/>
      <c r="R9" s="283"/>
      <c r="U9" s="64" t="s">
        <v>399</v>
      </c>
    </row>
    <row r="10" spans="1:21" s="64" customFormat="1" ht="14.25" customHeight="1">
      <c r="A10" s="283"/>
      <c r="B10" s="541"/>
      <c r="C10" s="677" t="s">
        <v>330</v>
      </c>
      <c r="D10" s="677"/>
      <c r="E10" s="677"/>
      <c r="F10" s="677"/>
      <c r="G10" s="677"/>
      <c r="H10" s="268"/>
      <c r="I10" s="268"/>
      <c r="J10" s="677" t="s">
        <v>358</v>
      </c>
      <c r="K10" s="677"/>
      <c r="L10" s="677"/>
      <c r="M10" s="677"/>
      <c r="N10" s="677"/>
      <c r="O10" s="677"/>
      <c r="P10" s="268"/>
      <c r="Q10" s="542"/>
      <c r="R10" s="283"/>
      <c r="U10" s="64" t="s">
        <v>400</v>
      </c>
    </row>
    <row r="11" spans="1:21" s="64" customFormat="1" ht="8.25" customHeight="1">
      <c r="A11" s="283"/>
      <c r="B11" s="541"/>
      <c r="C11" s="268"/>
      <c r="D11" s="268"/>
      <c r="E11" s="268"/>
      <c r="F11" s="268"/>
      <c r="G11" s="268"/>
      <c r="H11" s="268"/>
      <c r="I11" s="268"/>
      <c r="J11" s="268"/>
      <c r="K11" s="268"/>
      <c r="L11" s="268"/>
      <c r="M11" s="268"/>
      <c r="N11" s="268"/>
      <c r="O11" s="268"/>
      <c r="P11" s="268"/>
      <c r="Q11" s="542"/>
      <c r="R11" s="283"/>
      <c r="U11" s="64" t="s">
        <v>401</v>
      </c>
    </row>
    <row r="12" spans="1:21" s="64" customFormat="1" ht="15.6" customHeight="1">
      <c r="A12" s="283"/>
      <c r="B12" s="541"/>
      <c r="C12" s="272" t="s">
        <v>325</v>
      </c>
      <c r="D12" s="671" t="s">
        <v>762</v>
      </c>
      <c r="E12" s="672"/>
      <c r="F12" s="672"/>
      <c r="G12" s="673"/>
      <c r="H12" s="268"/>
      <c r="I12" s="268"/>
      <c r="J12" s="624" t="s">
        <v>333</v>
      </c>
      <c r="K12" s="268"/>
      <c r="L12" s="268"/>
      <c r="M12" s="294" t="s">
        <v>334</v>
      </c>
      <c r="N12" s="268"/>
      <c r="O12" s="268"/>
      <c r="P12" s="268"/>
      <c r="Q12" s="542"/>
      <c r="R12" s="283"/>
      <c r="U12" s="64" t="s">
        <v>402</v>
      </c>
    </row>
    <row r="13" spans="1:21" s="64" customFormat="1" ht="3" customHeight="1">
      <c r="A13" s="283"/>
      <c r="B13" s="541"/>
      <c r="C13" s="268"/>
      <c r="D13" s="276"/>
      <c r="E13" s="276"/>
      <c r="F13" s="276"/>
      <c r="G13" s="276"/>
      <c r="H13" s="268"/>
      <c r="I13" s="268"/>
      <c r="J13" s="268"/>
      <c r="K13" s="249"/>
      <c r="L13" s="268"/>
      <c r="M13" s="268"/>
      <c r="N13" s="268"/>
      <c r="O13" s="268"/>
      <c r="P13" s="268"/>
      <c r="Q13" s="542"/>
      <c r="R13" s="283"/>
      <c r="U13" s="64" t="s">
        <v>403</v>
      </c>
    </row>
    <row r="14" spans="1:21" s="64" customFormat="1" ht="15.6" customHeight="1">
      <c r="A14" s="283"/>
      <c r="B14" s="541"/>
      <c r="C14" s="272" t="s">
        <v>328</v>
      </c>
      <c r="D14" s="671" t="s">
        <v>763</v>
      </c>
      <c r="E14" s="672"/>
      <c r="F14" s="672"/>
      <c r="G14" s="673"/>
      <c r="H14" s="268"/>
      <c r="I14" s="268"/>
      <c r="J14" s="288"/>
      <c r="K14" s="249"/>
      <c r="L14" s="268" t="s">
        <v>170</v>
      </c>
      <c r="M14" s="268"/>
      <c r="N14" s="268"/>
      <c r="O14" s="268"/>
      <c r="P14" s="268"/>
      <c r="Q14" s="542"/>
      <c r="R14" s="283"/>
      <c r="U14" s="64" t="s">
        <v>404</v>
      </c>
    </row>
    <row r="15" spans="1:21" s="64" customFormat="1" ht="3" customHeight="1">
      <c r="A15" s="283"/>
      <c r="B15" s="541"/>
      <c r="C15" s="268"/>
      <c r="D15" s="276"/>
      <c r="E15" s="276"/>
      <c r="F15" s="276"/>
      <c r="G15" s="276"/>
      <c r="H15" s="268"/>
      <c r="I15" s="268"/>
      <c r="J15" s="281"/>
      <c r="K15" s="249"/>
      <c r="L15" s="268"/>
      <c r="M15" s="271"/>
      <c r="N15" s="273"/>
      <c r="O15" s="268"/>
      <c r="P15" s="268"/>
      <c r="Q15" s="542"/>
      <c r="R15" s="283"/>
      <c r="U15" s="64" t="s">
        <v>405</v>
      </c>
    </row>
    <row r="16" spans="1:21" s="64" customFormat="1" ht="15.6" customHeight="1">
      <c r="A16" s="283"/>
      <c r="B16" s="541"/>
      <c r="C16" s="272" t="s">
        <v>757</v>
      </c>
      <c r="D16" s="640" t="s">
        <v>764</v>
      </c>
      <c r="E16" s="639">
        <v>2</v>
      </c>
      <c r="F16" s="268"/>
      <c r="G16" s="268"/>
      <c r="H16" s="268"/>
      <c r="I16" s="268"/>
      <c r="J16" s="286"/>
      <c r="K16" s="249"/>
      <c r="L16" s="268" t="s">
        <v>164</v>
      </c>
      <c r="M16" s="271"/>
      <c r="N16" s="273"/>
      <c r="O16" s="268"/>
      <c r="P16" s="268"/>
      <c r="Q16" s="542"/>
      <c r="R16" s="283"/>
      <c r="U16" s="64" t="s">
        <v>406</v>
      </c>
    </row>
    <row r="17" spans="1:21" s="64" customFormat="1" ht="3" customHeight="1">
      <c r="A17" s="283"/>
      <c r="B17" s="541"/>
      <c r="C17" s="268"/>
      <c r="D17" s="276"/>
      <c r="E17" s="276"/>
      <c r="F17" s="276"/>
      <c r="G17" s="276"/>
      <c r="H17" s="268"/>
      <c r="I17" s="268"/>
      <c r="J17" s="268"/>
      <c r="K17" s="249"/>
      <c r="L17" s="268"/>
      <c r="M17" s="271"/>
      <c r="N17" s="273"/>
      <c r="O17" s="268"/>
      <c r="P17" s="268"/>
      <c r="Q17" s="542"/>
      <c r="R17" s="283"/>
      <c r="U17" s="64" t="s">
        <v>407</v>
      </c>
    </row>
    <row r="18" spans="1:21" s="64" customFormat="1" ht="15.75" customHeight="1">
      <c r="A18" s="283"/>
      <c r="B18" s="541"/>
      <c r="C18" s="272" t="s">
        <v>326</v>
      </c>
      <c r="D18" s="671" t="s">
        <v>765</v>
      </c>
      <c r="E18" s="672"/>
      <c r="F18" s="672"/>
      <c r="G18" s="673"/>
      <c r="H18" s="268"/>
      <c r="I18" s="268"/>
      <c r="J18" s="287"/>
      <c r="K18" s="249"/>
      <c r="L18" s="268" t="s">
        <v>210</v>
      </c>
      <c r="M18" s="271"/>
      <c r="N18" s="273"/>
      <c r="O18" s="268"/>
      <c r="P18" s="268"/>
      <c r="Q18" s="542"/>
      <c r="R18" s="283"/>
      <c r="U18" s="64" t="s">
        <v>408</v>
      </c>
    </row>
    <row r="19" spans="1:21" s="64" customFormat="1" ht="3" customHeight="1">
      <c r="A19" s="283"/>
      <c r="B19" s="541"/>
      <c r="C19" s="272"/>
      <c r="D19" s="276"/>
      <c r="E19" s="276"/>
      <c r="F19" s="276"/>
      <c r="G19" s="276"/>
      <c r="H19" s="268"/>
      <c r="I19" s="249"/>
      <c r="J19" s="249"/>
      <c r="K19" s="249"/>
      <c r="L19" s="249"/>
      <c r="M19" s="249"/>
      <c r="N19" s="249"/>
      <c r="O19" s="249"/>
      <c r="P19" s="268"/>
      <c r="Q19" s="542"/>
      <c r="R19" s="283"/>
      <c r="U19" s="64" t="s">
        <v>409</v>
      </c>
    </row>
    <row r="20" spans="1:21" s="64" customFormat="1" ht="15.6" customHeight="1">
      <c r="A20" s="283"/>
      <c r="B20" s="541"/>
      <c r="C20" s="272" t="s">
        <v>327</v>
      </c>
      <c r="D20" s="678" t="s">
        <v>766</v>
      </c>
      <c r="E20" s="679"/>
      <c r="F20" s="679"/>
      <c r="G20" s="680"/>
      <c r="H20" s="268"/>
      <c r="I20" s="249"/>
      <c r="J20" s="249"/>
      <c r="K20" s="249"/>
      <c r="L20" s="249"/>
      <c r="M20" s="249"/>
      <c r="N20" s="249"/>
      <c r="O20" s="249"/>
      <c r="P20" s="268"/>
      <c r="Q20" s="542"/>
      <c r="R20" s="283"/>
      <c r="U20" s="64" t="s">
        <v>410</v>
      </c>
    </row>
    <row r="21" spans="1:21" s="64" customFormat="1" ht="3" customHeight="1">
      <c r="A21" s="283"/>
      <c r="B21" s="541"/>
      <c r="C21" s="272"/>
      <c r="D21" s="276"/>
      <c r="E21" s="276"/>
      <c r="F21" s="276"/>
      <c r="G21" s="276"/>
      <c r="H21" s="268"/>
      <c r="I21" s="249"/>
      <c r="J21" s="249"/>
      <c r="K21" s="249"/>
      <c r="L21" s="268"/>
      <c r="M21" s="271"/>
      <c r="N21" s="273"/>
      <c r="O21" s="268"/>
      <c r="P21" s="268"/>
      <c r="Q21" s="542"/>
      <c r="R21" s="283"/>
      <c r="U21" s="64" t="s">
        <v>411</v>
      </c>
    </row>
    <row r="22" spans="1:21" s="64" customFormat="1" ht="15.6" customHeight="1">
      <c r="A22" s="283"/>
      <c r="B22" s="541"/>
      <c r="C22" s="272" t="s">
        <v>323</v>
      </c>
      <c r="D22" s="678" t="s">
        <v>422</v>
      </c>
      <c r="E22" s="679"/>
      <c r="F22" s="680"/>
      <c r="G22" s="268"/>
      <c r="H22" s="268"/>
      <c r="I22" s="249"/>
      <c r="J22" s="685" t="s">
        <v>332</v>
      </c>
      <c r="K22" s="292"/>
      <c r="L22" s="268" t="s">
        <v>202</v>
      </c>
      <c r="M22" s="271"/>
      <c r="N22" s="273" t="s">
        <v>201</v>
      </c>
      <c r="O22" s="268"/>
      <c r="P22" s="268"/>
      <c r="Q22" s="542"/>
      <c r="R22" s="283"/>
      <c r="U22" s="64" t="s">
        <v>412</v>
      </c>
    </row>
    <row r="23" spans="1:21" s="64" customFormat="1" ht="3" customHeight="1">
      <c r="A23" s="283"/>
      <c r="B23" s="541"/>
      <c r="C23" s="272"/>
      <c r="D23" s="276"/>
      <c r="E23" s="276"/>
      <c r="F23" s="276"/>
      <c r="G23" s="276"/>
      <c r="H23" s="268"/>
      <c r="I23" s="249"/>
      <c r="J23" s="685"/>
      <c r="K23" s="292"/>
      <c r="L23" s="268"/>
      <c r="M23" s="271"/>
      <c r="N23" s="273"/>
      <c r="O23" s="268"/>
      <c r="P23" s="268"/>
      <c r="Q23" s="542"/>
      <c r="R23" s="283"/>
      <c r="U23" s="64" t="s">
        <v>413</v>
      </c>
    </row>
    <row r="24" spans="1:21" s="64" customFormat="1" ht="15.6" customHeight="1">
      <c r="A24" s="283"/>
      <c r="B24" s="541"/>
      <c r="C24" s="272" t="s">
        <v>324</v>
      </c>
      <c r="D24" s="678" t="s">
        <v>767</v>
      </c>
      <c r="E24" s="680"/>
      <c r="F24" s="268"/>
      <c r="G24" s="268"/>
      <c r="H24" s="268"/>
      <c r="I24" s="249"/>
      <c r="J24" s="685"/>
      <c r="K24" s="292"/>
      <c r="L24" s="293">
        <v>2.5000000000000001E-3</v>
      </c>
      <c r="M24" s="288"/>
      <c r="N24" s="288"/>
      <c r="O24" s="268"/>
      <c r="P24" s="268"/>
      <c r="Q24" s="542"/>
      <c r="R24" s="283"/>
      <c r="U24" s="64" t="s">
        <v>414</v>
      </c>
    </row>
    <row r="25" spans="1:21" s="64" customFormat="1" ht="2.4" customHeight="1">
      <c r="A25" s="283"/>
      <c r="B25" s="541"/>
      <c r="C25" s="272"/>
      <c r="D25" s="268"/>
      <c r="E25" s="268"/>
      <c r="F25" s="268"/>
      <c r="G25" s="268"/>
      <c r="H25" s="268"/>
      <c r="I25" s="249"/>
      <c r="J25" s="685"/>
      <c r="K25" s="292"/>
      <c r="L25" s="268"/>
      <c r="M25" s="271"/>
      <c r="N25" s="273"/>
      <c r="O25" s="268"/>
      <c r="P25" s="268"/>
      <c r="Q25" s="542"/>
      <c r="R25" s="283"/>
      <c r="U25" s="64" t="s">
        <v>415</v>
      </c>
    </row>
    <row r="26" spans="1:21" s="64" customFormat="1" ht="15.6" customHeight="1">
      <c r="A26" s="283"/>
      <c r="B26" s="541"/>
      <c r="C26" s="272" t="s">
        <v>357</v>
      </c>
      <c r="D26" s="499">
        <v>2017</v>
      </c>
      <c r="E26" s="499" t="s">
        <v>768</v>
      </c>
      <c r="F26" s="268"/>
      <c r="G26" s="268"/>
      <c r="H26" s="268"/>
      <c r="I26" s="249"/>
      <c r="J26" s="249"/>
      <c r="K26" s="249"/>
      <c r="L26" s="268"/>
      <c r="M26" s="271"/>
      <c r="N26" s="273"/>
      <c r="O26" s="268"/>
      <c r="P26" s="268"/>
      <c r="Q26" s="542"/>
      <c r="R26" s="283"/>
      <c r="U26" s="64" t="s">
        <v>416</v>
      </c>
    </row>
    <row r="27" spans="1:21" s="64" customFormat="1" ht="3" customHeight="1">
      <c r="A27" s="283"/>
      <c r="B27" s="541"/>
      <c r="C27" s="272"/>
      <c r="D27" s="268"/>
      <c r="E27" s="268"/>
      <c r="F27" s="268"/>
      <c r="G27" s="268"/>
      <c r="H27" s="268"/>
      <c r="I27" s="249"/>
      <c r="J27" s="249"/>
      <c r="K27" s="249"/>
      <c r="L27" s="268"/>
      <c r="M27" s="271"/>
      <c r="N27" s="273"/>
      <c r="O27" s="268"/>
      <c r="P27" s="268"/>
      <c r="Q27" s="542"/>
      <c r="R27" s="283"/>
      <c r="U27" s="64" t="s">
        <v>417</v>
      </c>
    </row>
    <row r="28" spans="1:21" s="64" customFormat="1" ht="15.6" customHeight="1">
      <c r="A28" s="283"/>
      <c r="B28" s="541"/>
      <c r="C28" s="272" t="s">
        <v>329</v>
      </c>
      <c r="D28" s="500"/>
      <c r="E28" s="289" t="s">
        <v>645</v>
      </c>
      <c r="F28" s="268"/>
      <c r="G28" s="268"/>
      <c r="H28" s="268"/>
      <c r="I28" s="249"/>
      <c r="J28" s="249"/>
      <c r="K28" s="249"/>
      <c r="L28" s="268"/>
      <c r="M28" s="271"/>
      <c r="N28" s="273"/>
      <c r="O28" s="268"/>
      <c r="P28" s="268"/>
      <c r="Q28" s="542"/>
      <c r="R28" s="283"/>
      <c r="U28" s="64" t="s">
        <v>418</v>
      </c>
    </row>
    <row r="29" spans="1:21" s="64" customFormat="1" ht="3" customHeight="1">
      <c r="A29" s="283"/>
      <c r="B29" s="541"/>
      <c r="C29" s="272"/>
      <c r="D29" s="501"/>
      <c r="E29" s="268"/>
      <c r="F29" s="268"/>
      <c r="G29" s="268"/>
      <c r="H29" s="268"/>
      <c r="I29" s="249"/>
      <c r="J29" s="249"/>
      <c r="K29" s="249"/>
      <c r="L29" s="268"/>
      <c r="M29" s="271"/>
      <c r="N29" s="273"/>
      <c r="O29" s="268"/>
      <c r="P29" s="268"/>
      <c r="Q29" s="542"/>
      <c r="R29" s="283"/>
      <c r="U29" s="64" t="s">
        <v>419</v>
      </c>
    </row>
    <row r="30" spans="1:21" s="64" customFormat="1" ht="15.6" customHeight="1">
      <c r="A30" s="283"/>
      <c r="B30" s="541"/>
      <c r="C30" s="272" t="s">
        <v>659</v>
      </c>
      <c r="D30" s="500"/>
      <c r="E30" s="289" t="s">
        <v>645</v>
      </c>
      <c r="F30" s="268"/>
      <c r="G30" s="268"/>
      <c r="H30" s="268"/>
      <c r="I30" s="249"/>
      <c r="J30" s="249"/>
      <c r="K30" s="249"/>
      <c r="L30" s="268"/>
      <c r="M30" s="271"/>
      <c r="N30" s="273"/>
      <c r="O30" s="268"/>
      <c r="P30" s="268"/>
      <c r="Q30" s="542"/>
      <c r="R30" s="283"/>
      <c r="U30" s="64" t="s">
        <v>420</v>
      </c>
    </row>
    <row r="31" spans="1:21" s="64" customFormat="1" ht="3" customHeight="1">
      <c r="A31" s="283"/>
      <c r="B31" s="541"/>
      <c r="C31" s="272"/>
      <c r="D31" s="289"/>
      <c r="E31" s="289"/>
      <c r="F31" s="268"/>
      <c r="G31" s="268"/>
      <c r="H31" s="268"/>
      <c r="I31" s="249"/>
      <c r="J31" s="249"/>
      <c r="K31" s="249"/>
      <c r="L31" s="268"/>
      <c r="M31" s="271"/>
      <c r="N31" s="273"/>
      <c r="O31" s="268"/>
      <c r="P31" s="268"/>
      <c r="Q31" s="542"/>
      <c r="R31" s="283"/>
      <c r="U31" s="64" t="s">
        <v>423</v>
      </c>
    </row>
    <row r="32" spans="1:21" s="64" customFormat="1" ht="15.6" customHeight="1">
      <c r="A32" s="283"/>
      <c r="B32" s="541"/>
      <c r="C32" s="272" t="s">
        <v>660</v>
      </c>
      <c r="D32" s="617">
        <v>43167</v>
      </c>
      <c r="E32" s="289"/>
      <c r="F32" s="268"/>
      <c r="G32" s="268"/>
      <c r="H32" s="268"/>
      <c r="I32" s="249"/>
      <c r="J32" s="249"/>
      <c r="K32" s="249"/>
      <c r="L32" s="268"/>
      <c r="M32" s="271"/>
      <c r="N32" s="273"/>
      <c r="O32" s="268"/>
      <c r="P32" s="268"/>
      <c r="Q32" s="542"/>
      <c r="R32" s="283"/>
      <c r="U32" s="64" t="s">
        <v>427</v>
      </c>
    </row>
    <row r="33" spans="1:21" s="64" customFormat="1" ht="3" customHeight="1">
      <c r="A33" s="283"/>
      <c r="B33" s="541"/>
      <c r="C33" s="274"/>
      <c r="D33" s="268"/>
      <c r="E33" s="268"/>
      <c r="F33" s="268"/>
      <c r="G33" s="268"/>
      <c r="H33" s="268"/>
      <c r="I33" s="249"/>
      <c r="J33" s="249"/>
      <c r="K33" s="249"/>
      <c r="L33" s="268"/>
      <c r="M33" s="249"/>
      <c r="N33" s="249"/>
      <c r="O33" s="268"/>
      <c r="P33" s="268"/>
      <c r="Q33" s="542"/>
      <c r="R33" s="283"/>
      <c r="U33" s="64" t="s">
        <v>424</v>
      </c>
    </row>
    <row r="34" spans="1:21" s="64" customFormat="1" ht="15.6" customHeight="1">
      <c r="A34" s="283"/>
      <c r="B34" s="541"/>
      <c r="C34" s="272" t="s">
        <v>721</v>
      </c>
      <c r="D34" s="674" t="s">
        <v>55</v>
      </c>
      <c r="E34" s="675"/>
      <c r="F34" s="676"/>
      <c r="G34" s="268"/>
      <c r="H34" s="268"/>
      <c r="I34" s="268"/>
      <c r="J34" s="268"/>
      <c r="K34" s="268"/>
      <c r="L34" s="268"/>
      <c r="M34" s="271"/>
      <c r="N34" s="273"/>
      <c r="O34" s="268"/>
      <c r="P34" s="268"/>
      <c r="Q34" s="542"/>
      <c r="R34" s="283"/>
      <c r="U34" s="64" t="s">
        <v>425</v>
      </c>
    </row>
    <row r="35" spans="1:21" s="64" customFormat="1" ht="3" customHeight="1">
      <c r="A35" s="283"/>
      <c r="B35" s="541"/>
      <c r="C35" s="290"/>
      <c r="D35" s="292"/>
      <c r="E35" s="292"/>
      <c r="F35" s="292"/>
      <c r="G35" s="268"/>
      <c r="H35" s="268"/>
      <c r="I35" s="268"/>
      <c r="J35" s="268"/>
      <c r="K35" s="268"/>
      <c r="L35" s="268"/>
      <c r="M35" s="271"/>
      <c r="N35" s="273"/>
      <c r="O35" s="268"/>
      <c r="P35" s="268"/>
      <c r="Q35" s="542"/>
      <c r="R35" s="283"/>
      <c r="U35" s="64" t="s">
        <v>426</v>
      </c>
    </row>
    <row r="36" spans="1:21" s="64" customFormat="1" ht="15.6" customHeight="1">
      <c r="A36" s="283"/>
      <c r="B36" s="547"/>
      <c r="C36" s="295" t="s">
        <v>335</v>
      </c>
      <c r="D36" s="686" t="s">
        <v>769</v>
      </c>
      <c r="E36" s="687"/>
      <c r="F36" s="276"/>
      <c r="G36" s="275"/>
      <c r="H36" s="268"/>
      <c r="I36" s="268"/>
      <c r="J36" s="268"/>
      <c r="K36" s="268"/>
      <c r="L36" s="268"/>
      <c r="M36" s="268"/>
      <c r="N36" s="268"/>
      <c r="O36" s="268"/>
      <c r="P36" s="268"/>
      <c r="Q36" s="542"/>
      <c r="R36" s="283"/>
      <c r="U36" s="64" t="s">
        <v>428</v>
      </c>
    </row>
    <row r="37" spans="1:21" s="64" customFormat="1" ht="25.2" customHeight="1">
      <c r="A37" s="283"/>
      <c r="B37" s="548"/>
      <c r="C37" s="276"/>
      <c r="D37" s="684" t="s">
        <v>340</v>
      </c>
      <c r="E37" s="684"/>
      <c r="F37" s="684"/>
      <c r="G37" s="684"/>
      <c r="H37" s="684"/>
      <c r="I37" s="684"/>
      <c r="J37" s="684"/>
      <c r="K37" s="684"/>
      <c r="L37" s="684"/>
      <c r="M37" s="684"/>
      <c r="N37" s="684"/>
      <c r="O37" s="684"/>
      <c r="P37" s="514"/>
      <c r="Q37" s="542"/>
      <c r="R37" s="283"/>
      <c r="U37" s="64" t="s">
        <v>421</v>
      </c>
    </row>
    <row r="38" spans="1:21" s="64" customFormat="1" ht="3.75" customHeight="1">
      <c r="A38" s="283"/>
      <c r="B38" s="548"/>
      <c r="C38" s="276"/>
      <c r="D38" s="268"/>
      <c r="E38" s="268"/>
      <c r="F38" s="268"/>
      <c r="G38" s="268"/>
      <c r="H38" s="268"/>
      <c r="I38" s="268"/>
      <c r="J38" s="268"/>
      <c r="K38" s="268"/>
      <c r="L38" s="268"/>
      <c r="M38" s="268"/>
      <c r="N38" s="268"/>
      <c r="O38" s="268"/>
      <c r="P38" s="268"/>
      <c r="Q38" s="542"/>
      <c r="R38" s="283"/>
      <c r="U38" s="64" t="s">
        <v>422</v>
      </c>
    </row>
    <row r="39" spans="1:21" s="64" customFormat="1" ht="22.5" customHeight="1">
      <c r="A39" s="283"/>
      <c r="B39" s="548"/>
      <c r="C39" s="276"/>
      <c r="D39" s="669"/>
      <c r="E39" s="669"/>
      <c r="F39" s="669"/>
      <c r="G39" s="669"/>
      <c r="H39" s="669"/>
      <c r="I39" s="669"/>
      <c r="J39" s="669"/>
      <c r="K39" s="669"/>
      <c r="L39" s="669"/>
      <c r="M39" s="669"/>
      <c r="N39" s="669"/>
      <c r="O39" s="669"/>
      <c r="P39" s="514"/>
      <c r="Q39" s="542"/>
      <c r="R39" s="283"/>
      <c r="U39" s="64" t="s">
        <v>429</v>
      </c>
    </row>
    <row r="40" spans="1:21" s="64" customFormat="1" ht="3.75" customHeight="1">
      <c r="A40" s="283"/>
      <c r="B40" s="548"/>
      <c r="C40" s="276"/>
      <c r="D40" s="268"/>
      <c r="E40" s="268"/>
      <c r="F40" s="268"/>
      <c r="G40" s="268"/>
      <c r="H40" s="268"/>
      <c r="I40" s="268"/>
      <c r="J40" s="268"/>
      <c r="K40" s="268"/>
      <c r="L40" s="268"/>
      <c r="M40" s="268"/>
      <c r="N40" s="268"/>
      <c r="O40" s="268"/>
      <c r="P40" s="268"/>
      <c r="Q40" s="542"/>
      <c r="R40" s="283"/>
      <c r="U40" s="64" t="s">
        <v>430</v>
      </c>
    </row>
    <row r="41" spans="1:21" s="64" customFormat="1" ht="22.5" customHeight="1">
      <c r="A41" s="283"/>
      <c r="B41" s="548"/>
      <c r="C41" s="276"/>
      <c r="D41" s="669"/>
      <c r="E41" s="669"/>
      <c r="F41" s="669"/>
      <c r="G41" s="669"/>
      <c r="H41" s="669"/>
      <c r="I41" s="669"/>
      <c r="J41" s="669"/>
      <c r="K41" s="669"/>
      <c r="L41" s="669"/>
      <c r="M41" s="669"/>
      <c r="N41" s="669"/>
      <c r="O41" s="669"/>
      <c r="P41" s="514"/>
      <c r="Q41" s="542"/>
      <c r="R41" s="283"/>
      <c r="U41" s="64" t="s">
        <v>431</v>
      </c>
    </row>
    <row r="42" spans="1:21" s="64" customFormat="1" ht="3.75" customHeight="1">
      <c r="A42" s="283"/>
      <c r="B42" s="548"/>
      <c r="C42" s="276"/>
      <c r="D42" s="268"/>
      <c r="E42" s="268"/>
      <c r="F42" s="268"/>
      <c r="G42" s="268"/>
      <c r="H42" s="268"/>
      <c r="I42" s="268"/>
      <c r="J42" s="268"/>
      <c r="K42" s="268"/>
      <c r="L42" s="268"/>
      <c r="M42" s="268"/>
      <c r="N42" s="268"/>
      <c r="O42" s="268"/>
      <c r="P42" s="268"/>
      <c r="Q42" s="542"/>
      <c r="R42" s="283"/>
      <c r="U42" s="64" t="s">
        <v>432</v>
      </c>
    </row>
    <row r="43" spans="1:21" s="64" customFormat="1" ht="22.5" customHeight="1">
      <c r="A43" s="283"/>
      <c r="B43" s="548"/>
      <c r="C43" s="276"/>
      <c r="D43" s="669"/>
      <c r="E43" s="669"/>
      <c r="F43" s="669"/>
      <c r="G43" s="669"/>
      <c r="H43" s="669"/>
      <c r="I43" s="669"/>
      <c r="J43" s="669"/>
      <c r="K43" s="669"/>
      <c r="L43" s="669"/>
      <c r="M43" s="669"/>
      <c r="N43" s="669"/>
      <c r="O43" s="669"/>
      <c r="P43" s="514"/>
      <c r="Q43" s="542"/>
      <c r="R43" s="283"/>
      <c r="U43" s="64" t="s">
        <v>433</v>
      </c>
    </row>
    <row r="44" spans="1:21" s="64" customFormat="1" ht="21" customHeight="1">
      <c r="A44" s="283"/>
      <c r="B44" s="548"/>
      <c r="C44" s="276"/>
      <c r="D44" s="514"/>
      <c r="E44" s="514"/>
      <c r="F44" s="514"/>
      <c r="G44" s="514"/>
      <c r="H44" s="514"/>
      <c r="I44" s="514"/>
      <c r="J44" s="514"/>
      <c r="K44" s="514"/>
      <c r="L44" s="514"/>
      <c r="M44" s="514"/>
      <c r="N44" s="514"/>
      <c r="O44" s="514"/>
      <c r="P44" s="514"/>
      <c r="Q44" s="542"/>
      <c r="R44" s="283"/>
      <c r="U44" s="64" t="s">
        <v>434</v>
      </c>
    </row>
    <row r="45" spans="1:21" s="64" customFormat="1" ht="22.5" customHeight="1">
      <c r="A45" s="283"/>
      <c r="B45" s="548"/>
      <c r="C45" s="276"/>
      <c r="D45" s="669"/>
      <c r="E45" s="669"/>
      <c r="F45" s="669"/>
      <c r="G45" s="669"/>
      <c r="H45" s="669"/>
      <c r="I45" s="669"/>
      <c r="J45" s="669"/>
      <c r="K45" s="669"/>
      <c r="L45" s="669"/>
      <c r="M45" s="669"/>
      <c r="N45" s="669"/>
      <c r="O45" s="669"/>
      <c r="P45" s="514"/>
      <c r="Q45" s="542"/>
      <c r="R45" s="283"/>
      <c r="U45" s="64" t="s">
        <v>435</v>
      </c>
    </row>
    <row r="46" spans="1:21" s="64" customFormat="1" ht="19.2" customHeight="1">
      <c r="A46" s="283"/>
      <c r="B46" s="548"/>
      <c r="C46" s="276"/>
      <c r="D46" s="268"/>
      <c r="E46" s="268"/>
      <c r="F46" s="268"/>
      <c r="G46" s="268"/>
      <c r="H46" s="268"/>
      <c r="I46" s="268"/>
      <c r="J46" s="268"/>
      <c r="K46" s="268"/>
      <c r="L46" s="268"/>
      <c r="M46" s="268"/>
      <c r="N46" s="268"/>
      <c r="O46" s="268"/>
      <c r="P46" s="268"/>
      <c r="Q46" s="542"/>
      <c r="R46" s="283"/>
      <c r="U46" s="64" t="s">
        <v>436</v>
      </c>
    </row>
    <row r="47" spans="1:21" s="64" customFormat="1" ht="27.6" customHeight="1">
      <c r="A47" s="283"/>
      <c r="B47" s="548"/>
      <c r="C47" s="276"/>
      <c r="D47" s="268"/>
      <c r="E47" s="268"/>
      <c r="F47" s="268"/>
      <c r="G47" s="268"/>
      <c r="H47" s="268"/>
      <c r="I47" s="268"/>
      <c r="J47" s="268"/>
      <c r="K47" s="268"/>
      <c r="L47" s="268"/>
      <c r="M47" s="268"/>
      <c r="N47" s="268"/>
      <c r="O47" s="268"/>
      <c r="P47" s="268"/>
      <c r="Q47" s="542"/>
      <c r="R47" s="283"/>
      <c r="U47" s="64" t="s">
        <v>437</v>
      </c>
    </row>
    <row r="48" spans="1:21" s="64" customFormat="1" ht="27.6" customHeight="1">
      <c r="A48" s="283"/>
      <c r="B48" s="548"/>
      <c r="C48" s="276"/>
      <c r="D48" s="268"/>
      <c r="E48" s="268"/>
      <c r="F48" s="268"/>
      <c r="G48" s="268"/>
      <c r="H48" s="268"/>
      <c r="I48" s="268"/>
      <c r="J48" s="268"/>
      <c r="K48" s="268"/>
      <c r="L48" s="268"/>
      <c r="M48" s="268"/>
      <c r="N48" s="268"/>
      <c r="O48" s="268"/>
      <c r="P48" s="268"/>
      <c r="Q48" s="542"/>
      <c r="R48" s="283"/>
      <c r="U48" s="64" t="s">
        <v>438</v>
      </c>
    </row>
    <row r="49" spans="1:21" s="64" customFormat="1" ht="27.6" customHeight="1">
      <c r="A49" s="283"/>
      <c r="B49" s="548"/>
      <c r="C49" s="276"/>
      <c r="D49" s="268"/>
      <c r="E49" s="268"/>
      <c r="F49" s="268"/>
      <c r="G49" s="268"/>
      <c r="H49" s="268"/>
      <c r="I49" s="268"/>
      <c r="J49" s="268"/>
      <c r="K49" s="268"/>
      <c r="L49" s="268"/>
      <c r="M49" s="268"/>
      <c r="N49" s="268"/>
      <c r="O49" s="268"/>
      <c r="P49" s="268"/>
      <c r="Q49" s="542"/>
      <c r="R49" s="283"/>
      <c r="U49" s="64" t="s">
        <v>439</v>
      </c>
    </row>
    <row r="50" spans="1:21" s="64" customFormat="1" ht="27.6" customHeight="1">
      <c r="A50" s="283"/>
      <c r="B50" s="548"/>
      <c r="C50" s="276"/>
      <c r="D50" s="268"/>
      <c r="E50" s="268"/>
      <c r="F50" s="268"/>
      <c r="G50" s="268"/>
      <c r="H50" s="268"/>
      <c r="I50" s="268"/>
      <c r="J50" s="268"/>
      <c r="K50" s="268"/>
      <c r="L50" s="268"/>
      <c r="M50" s="268"/>
      <c r="N50" s="268"/>
      <c r="O50" s="268"/>
      <c r="P50" s="268"/>
      <c r="Q50" s="542"/>
      <c r="R50" s="283"/>
      <c r="U50" s="64" t="s">
        <v>440</v>
      </c>
    </row>
    <row r="51" spans="1:21" s="64" customFormat="1" ht="22.5" customHeight="1">
      <c r="A51" s="283"/>
      <c r="B51" s="548"/>
      <c r="C51" s="277"/>
      <c r="D51" s="276"/>
      <c r="E51" s="514"/>
      <c r="F51" s="514"/>
      <c r="G51" s="514"/>
      <c r="H51" s="514"/>
      <c r="I51" s="514"/>
      <c r="J51" s="514"/>
      <c r="K51" s="514"/>
      <c r="L51" s="277" t="s">
        <v>338</v>
      </c>
      <c r="M51" s="278" t="s">
        <v>200</v>
      </c>
      <c r="N51" s="514"/>
      <c r="O51" s="514"/>
      <c r="P51" s="514"/>
      <c r="Q51" s="542"/>
      <c r="R51" s="283"/>
      <c r="U51" s="64" t="s">
        <v>441</v>
      </c>
    </row>
    <row r="52" spans="1:21" s="64" customFormat="1" ht="5.25" customHeight="1" thickBot="1">
      <c r="A52" s="283"/>
      <c r="B52" s="549"/>
      <c r="C52" s="550"/>
      <c r="D52" s="550"/>
      <c r="E52" s="550"/>
      <c r="F52" s="550"/>
      <c r="G52" s="550"/>
      <c r="H52" s="550"/>
      <c r="I52" s="550"/>
      <c r="J52" s="550"/>
      <c r="K52" s="550"/>
      <c r="L52" s="550"/>
      <c r="M52" s="550"/>
      <c r="N52" s="550"/>
      <c r="O52" s="550"/>
      <c r="P52" s="550"/>
      <c r="Q52" s="551"/>
      <c r="R52" s="283"/>
      <c r="U52" s="64" t="s">
        <v>442</v>
      </c>
    </row>
    <row r="53" spans="1:21" ht="13.5" customHeight="1" thickTop="1">
      <c r="A53" s="282"/>
      <c r="B53" s="282"/>
      <c r="C53" s="282"/>
      <c r="D53" s="282"/>
      <c r="E53" s="282"/>
      <c r="F53" s="282"/>
      <c r="G53" s="282"/>
      <c r="H53" s="282"/>
      <c r="I53" s="282"/>
      <c r="J53" s="282"/>
      <c r="K53" s="282"/>
      <c r="L53" s="282"/>
      <c r="M53" s="282"/>
      <c r="N53" s="282"/>
      <c r="O53" s="282"/>
      <c r="P53" s="282"/>
      <c r="Q53" s="282"/>
      <c r="R53" s="282"/>
      <c r="U53" s="245" t="s">
        <v>443</v>
      </c>
    </row>
    <row r="54" spans="1:21" hidden="1">
      <c r="A54" s="282"/>
      <c r="B54" s="282"/>
      <c r="C54" s="282"/>
      <c r="D54" s="282"/>
      <c r="E54" s="282"/>
      <c r="F54" s="282"/>
      <c r="G54" s="282"/>
      <c r="H54" s="282"/>
      <c r="I54" s="282"/>
      <c r="J54" s="282"/>
      <c r="K54" s="282"/>
      <c r="L54" s="282"/>
      <c r="M54" s="282"/>
      <c r="N54" s="282"/>
      <c r="O54" s="282"/>
      <c r="P54" s="282"/>
      <c r="Q54" s="282"/>
      <c r="R54" s="282"/>
      <c r="U54" s="245" t="s">
        <v>444</v>
      </c>
    </row>
    <row r="55" spans="1:21" hidden="1">
      <c r="A55" s="282"/>
      <c r="B55" s="282"/>
      <c r="C55" s="282"/>
      <c r="D55" s="282"/>
      <c r="E55" s="282"/>
      <c r="F55" s="282"/>
      <c r="G55" s="282"/>
      <c r="H55" s="282"/>
      <c r="I55" s="282"/>
      <c r="J55" s="282"/>
      <c r="K55" s="282"/>
      <c r="L55" s="282"/>
      <c r="M55" s="282"/>
      <c r="N55" s="282"/>
      <c r="O55" s="282"/>
      <c r="P55" s="282"/>
      <c r="Q55" s="282"/>
      <c r="R55" s="282"/>
      <c r="U55" s="245" t="s">
        <v>445</v>
      </c>
    </row>
    <row r="56" spans="1:21" hidden="1">
      <c r="A56" s="282"/>
      <c r="B56" s="282"/>
      <c r="C56" s="282"/>
      <c r="D56" s="282"/>
      <c r="E56" s="282"/>
      <c r="F56" s="282"/>
      <c r="G56" s="282"/>
      <c r="H56" s="282"/>
      <c r="I56" s="282"/>
      <c r="J56" s="282"/>
      <c r="K56" s="282"/>
      <c r="L56" s="282"/>
      <c r="M56" s="282"/>
      <c r="N56" s="282"/>
      <c r="O56" s="282"/>
      <c r="P56" s="282"/>
      <c r="Q56" s="282"/>
      <c r="R56" s="282"/>
      <c r="U56" s="245" t="s">
        <v>446</v>
      </c>
    </row>
    <row r="57" spans="1:21" hidden="1">
      <c r="A57" s="282"/>
      <c r="B57" s="282"/>
      <c r="C57" s="282"/>
      <c r="D57" s="282"/>
      <c r="E57" s="282"/>
      <c r="F57" s="282"/>
      <c r="G57" s="282"/>
      <c r="H57" s="282"/>
      <c r="I57" s="282"/>
      <c r="J57" s="282"/>
      <c r="K57" s="282"/>
      <c r="L57" s="282"/>
      <c r="M57" s="282"/>
      <c r="N57" s="282"/>
      <c r="O57" s="282"/>
      <c r="P57" s="282"/>
      <c r="Q57" s="282"/>
      <c r="R57" s="282"/>
      <c r="U57" s="245" t="s">
        <v>447</v>
      </c>
    </row>
    <row r="58" spans="1:21" hidden="1">
      <c r="A58" s="282"/>
      <c r="B58" s="282"/>
      <c r="C58" s="282"/>
      <c r="D58" s="282"/>
      <c r="E58" s="282"/>
      <c r="F58" s="282"/>
      <c r="G58" s="282"/>
      <c r="H58" s="282"/>
      <c r="I58" s="282"/>
      <c r="J58" s="282"/>
      <c r="K58" s="282"/>
      <c r="L58" s="282"/>
      <c r="M58" s="282"/>
      <c r="N58" s="282"/>
      <c r="O58" s="282"/>
      <c r="P58" s="282"/>
      <c r="Q58" s="282"/>
      <c r="R58" s="282"/>
      <c r="U58" s="245" t="s">
        <v>448</v>
      </c>
    </row>
    <row r="59" spans="1:21" hidden="1">
      <c r="A59" s="282"/>
      <c r="B59" s="282"/>
      <c r="C59" s="282"/>
      <c r="D59" s="282"/>
      <c r="E59" s="282"/>
      <c r="F59" s="282"/>
      <c r="G59" s="282"/>
      <c r="H59" s="282"/>
      <c r="I59" s="282"/>
      <c r="J59" s="282"/>
      <c r="K59" s="282"/>
      <c r="L59" s="282"/>
      <c r="M59" s="282"/>
      <c r="N59" s="282"/>
      <c r="O59" s="282"/>
      <c r="P59" s="282"/>
      <c r="Q59" s="282"/>
      <c r="R59" s="282"/>
      <c r="U59" s="245" t="s">
        <v>449</v>
      </c>
    </row>
    <row r="60" spans="1:21" hidden="1">
      <c r="U60" s="245" t="s">
        <v>450</v>
      </c>
    </row>
    <row r="61" spans="1:21" hidden="1">
      <c r="U61" s="245" t="s">
        <v>451</v>
      </c>
    </row>
    <row r="62" spans="1:21" hidden="1">
      <c r="U62" s="245" t="s">
        <v>452</v>
      </c>
    </row>
    <row r="63" spans="1:21" hidden="1">
      <c r="U63" s="245" t="s">
        <v>453</v>
      </c>
    </row>
    <row r="64" spans="1:21" hidden="1">
      <c r="U64" s="245" t="s">
        <v>454</v>
      </c>
    </row>
    <row r="65" spans="21:21" hidden="1">
      <c r="U65" s="245" t="s">
        <v>455</v>
      </c>
    </row>
    <row r="66" spans="21:21" hidden="1">
      <c r="U66" s="245" t="s">
        <v>456</v>
      </c>
    </row>
    <row r="67" spans="21:21" hidden="1">
      <c r="U67" s="245" t="s">
        <v>457</v>
      </c>
    </row>
    <row r="68" spans="21:21" hidden="1">
      <c r="U68" s="245" t="s">
        <v>458</v>
      </c>
    </row>
    <row r="69" spans="21:21" hidden="1">
      <c r="U69" s="245" t="s">
        <v>666</v>
      </c>
    </row>
  </sheetData>
  <sheetProtection password="8B16" sheet="1" objects="1" scenarios="1"/>
  <mergeCells count="20">
    <mergeCell ref="B2:Q2"/>
    <mergeCell ref="D18:G18"/>
    <mergeCell ref="D37:O37"/>
    <mergeCell ref="D20:G20"/>
    <mergeCell ref="D14:G14"/>
    <mergeCell ref="C6:O6"/>
    <mergeCell ref="C4:O5"/>
    <mergeCell ref="D36:E36"/>
    <mergeCell ref="D24:E24"/>
    <mergeCell ref="J22:J25"/>
    <mergeCell ref="D39:O39"/>
    <mergeCell ref="D43:O43"/>
    <mergeCell ref="C7:O7"/>
    <mergeCell ref="D12:G12"/>
    <mergeCell ref="D45:O45"/>
    <mergeCell ref="D41:O41"/>
    <mergeCell ref="D34:F34"/>
    <mergeCell ref="C10:G10"/>
    <mergeCell ref="J10:O10"/>
    <mergeCell ref="D22:F22"/>
  </mergeCells>
  <phoneticPr fontId="0" type="noConversion"/>
  <conditionalFormatting sqref="D28">
    <cfRule type="expression" dxfId="95" priority="10" stopIfTrue="1">
      <formula>$E$26="Calendar Year"</formula>
    </cfRule>
  </conditionalFormatting>
  <conditionalFormatting sqref="E28">
    <cfRule type="expression" dxfId="94" priority="8" stopIfTrue="1">
      <formula>$E$26="Calendar Year"</formula>
    </cfRule>
  </conditionalFormatting>
  <conditionalFormatting sqref="C28">
    <cfRule type="expression" dxfId="93" priority="7" stopIfTrue="1">
      <formula>$E$26="Calendar Year"</formula>
    </cfRule>
  </conditionalFormatting>
  <conditionalFormatting sqref="C30">
    <cfRule type="expression" dxfId="92" priority="4" stopIfTrue="1">
      <formula>$E$26="Calendar Year"</formula>
    </cfRule>
  </conditionalFormatting>
  <conditionalFormatting sqref="D30">
    <cfRule type="expression" dxfId="91" priority="3" stopIfTrue="1">
      <formula>$E$26="Calendar Year"</formula>
    </cfRule>
  </conditionalFormatting>
  <conditionalFormatting sqref="E30:E32 D31">
    <cfRule type="expression" dxfId="90" priority="2" stopIfTrue="1">
      <formula>$E$26="Calendar Year"</formula>
    </cfRule>
  </conditionalFormatting>
  <dataValidations count="3">
    <dataValidation type="list" allowBlank="1" showInputMessage="1" showErrorMessage="1" sqref="E26" xr:uid="{00000000-0002-0000-0000-000000000000}">
      <formula1>"Select Type...,Calendar Year,Financial Year"</formula1>
    </dataValidation>
    <dataValidation type="list" allowBlank="1" showInputMessage="1" showErrorMessage="1" errorTitle="Water Balance Units" error="You have not entered a valid option" promptTitle="Water Balance Units" prompt="Please choose from the following units" sqref="D34" xr:uid="{00000000-0002-0000-0000-000001000000}">
      <formula1>"Million gallons (US),Megalitres (thousand cubic metres),Acre-feet"</formula1>
    </dataValidation>
    <dataValidation type="list" allowBlank="1" showErrorMessage="1" errorTitle="State / Province Selection" error="You are required to choose an entry from the list." promptTitle="State / Province Selection" prompt="Please choose an entry from the list" sqref="D22:F22" xr:uid="{00000000-0002-0000-0000-000002000000}">
      <formula1>$U$3:$U$69</formula1>
    </dataValidation>
  </dataValidations>
  <hyperlinks>
    <hyperlink ref="M51" r:id="rId1" xr:uid="{00000000-0004-0000-0000-000000000000}"/>
    <hyperlink ref="M12" location="'Reporting Worksheet'!A1" display="Reporting Worksheet" xr:uid="{00000000-0004-0000-0000-000001000000}"/>
  </hyperlinks>
  <printOptions horizontalCentered="1" verticalCentered="1"/>
  <pageMargins left="0.41" right="0.47" top="0.76" bottom="0.75" header="0.5" footer="0.5"/>
  <pageSetup scale="72" orientation="landscape" r:id="rId2"/>
  <headerFooter alignWithMargins="0">
    <oddFooter>&amp;CAWWA Free Water Audit Software v5.0&amp;R&amp;A   &amp;P</oddFooter>
  </headerFooter>
  <drawing r:id="rId3"/>
  <legacyDrawing r:id="rId4"/>
  <mc:AlternateContent xmlns:mc="http://schemas.openxmlformats.org/markup-compatibility/2006">
    <mc:Choice Requires="x14">
      <controls>
        <mc:AlternateContent xmlns:mc="http://schemas.openxmlformats.org/markup-compatibility/2006">
          <mc:Choice Requires="x14">
            <control shapeId="806510" r:id="rId5" name="Option Button 4718">
              <controlPr defaultSize="0" autoFill="0" autoLine="0" autoPict="0">
                <anchor moveWithCells="1">
                  <from>
                    <xdr:col>12</xdr:col>
                    <xdr:colOff>365760</xdr:colOff>
                    <xdr:row>22</xdr:row>
                    <xdr:rowOff>30480</xdr:rowOff>
                  </from>
                  <to>
                    <xdr:col>13</xdr:col>
                    <xdr:colOff>7620</xdr:colOff>
                    <xdr:row>24</xdr:row>
                    <xdr:rowOff>7620</xdr:rowOff>
                  </to>
                </anchor>
              </controlPr>
            </control>
          </mc:Choice>
        </mc:AlternateContent>
        <mc:AlternateContent xmlns:mc="http://schemas.openxmlformats.org/markup-compatibility/2006">
          <mc:Choice Requires="x14">
            <control shapeId="806511" r:id="rId6" name="Option Button 4719">
              <controlPr defaultSize="0" autoFill="0" autoLine="0" autoPict="0">
                <anchor moveWithCells="1">
                  <from>
                    <xdr:col>12</xdr:col>
                    <xdr:colOff>99060</xdr:colOff>
                    <xdr:row>23</xdr:row>
                    <xdr:rowOff>0</xdr:rowOff>
                  </from>
                  <to>
                    <xdr:col>12</xdr:col>
                    <xdr:colOff>289560</xdr:colOff>
                    <xdr:row>23</xdr:row>
                    <xdr:rowOff>190500</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theme="3" tint="0.79998168889431442"/>
  </sheetPr>
  <dimension ref="A1:N174"/>
  <sheetViews>
    <sheetView showGridLines="0" showRowColHeaders="0" zoomScaleNormal="100" zoomScaleSheetLayoutView="100" workbookViewId="0">
      <pane ySplit="3" topLeftCell="A44" activePane="bottomLeft" state="frozen"/>
      <selection pane="bottomLeft" activeCell="C44" sqref="C44:L45"/>
    </sheetView>
  </sheetViews>
  <sheetFormatPr defaultColWidth="0" defaultRowHeight="13.2" zeroHeight="1"/>
  <cols>
    <col min="1" max="1" width="1.33203125" style="395" customWidth="1"/>
    <col min="2" max="2" width="1.33203125" style="396" customWidth="1"/>
    <col min="3" max="3" width="16.44140625" style="400" customWidth="1"/>
    <col min="4" max="4" width="10.88671875" style="232" customWidth="1"/>
    <col min="5" max="5" width="11" style="232" customWidth="1"/>
    <col min="6" max="6" width="14.109375" style="232" customWidth="1"/>
    <col min="7" max="7" width="20" style="232" customWidth="1"/>
    <col min="8" max="8" width="16" style="232" customWidth="1"/>
    <col min="9" max="9" width="19" style="232" customWidth="1"/>
    <col min="10" max="10" width="23.6640625" style="232" customWidth="1"/>
    <col min="11" max="11" width="6.6640625" style="232" customWidth="1"/>
    <col min="12" max="12" width="7.33203125" style="232" customWidth="1"/>
    <col min="13" max="13" width="1.109375" style="232" customWidth="1"/>
    <col min="14" max="14" width="1.33203125" style="232" customWidth="1"/>
    <col min="15" max="16384" width="0" style="232" hidden="1"/>
  </cols>
  <sheetData>
    <row r="1" spans="1:14" s="99" customFormat="1" ht="6" customHeight="1">
      <c r="A1" s="466"/>
      <c r="B1" s="396"/>
      <c r="C1" s="399"/>
      <c r="N1" s="469"/>
    </row>
    <row r="2" spans="1:14" ht="40.5" customHeight="1">
      <c r="A2" s="466"/>
      <c r="B2" s="796" t="s">
        <v>384</v>
      </c>
      <c r="C2" s="797"/>
      <c r="D2" s="797"/>
      <c r="E2" s="797"/>
      <c r="F2" s="797"/>
      <c r="G2" s="797"/>
      <c r="H2" s="797"/>
      <c r="I2" s="797"/>
      <c r="J2" s="797"/>
      <c r="K2" s="797"/>
      <c r="L2" s="797"/>
      <c r="M2" s="798"/>
      <c r="N2" s="469"/>
    </row>
    <row r="3" spans="1:14" ht="4.2" customHeight="1" thickBot="1">
      <c r="A3" s="466"/>
      <c r="B3" s="796"/>
      <c r="C3" s="797"/>
      <c r="D3" s="797"/>
      <c r="E3" s="797"/>
      <c r="F3" s="797"/>
      <c r="G3" s="797"/>
      <c r="H3" s="797"/>
      <c r="I3" s="797"/>
      <c r="J3" s="797"/>
      <c r="K3" s="797"/>
      <c r="L3" s="797"/>
      <c r="M3" s="798"/>
      <c r="N3" s="469"/>
    </row>
    <row r="4" spans="1:14" s="397" customFormat="1" ht="15" customHeight="1" thickBot="1">
      <c r="A4" s="471"/>
      <c r="B4" s="479"/>
      <c r="C4" s="402" t="s">
        <v>268</v>
      </c>
      <c r="D4" s="799" t="s">
        <v>269</v>
      </c>
      <c r="E4" s="800"/>
      <c r="F4" s="800"/>
      <c r="G4" s="800"/>
      <c r="H4" s="800"/>
      <c r="I4" s="800"/>
      <c r="J4" s="800"/>
      <c r="K4" s="800"/>
      <c r="L4" s="801"/>
      <c r="M4" s="329"/>
      <c r="N4" s="469"/>
    </row>
    <row r="5" spans="1:14" ht="4.2" customHeight="1" thickBot="1">
      <c r="A5" s="466"/>
      <c r="B5" s="478"/>
      <c r="C5" s="487"/>
      <c r="D5" s="484"/>
      <c r="E5" s="484"/>
      <c r="F5" s="484"/>
      <c r="G5" s="488"/>
      <c r="H5" s="327"/>
      <c r="I5" s="327"/>
      <c r="J5" s="327"/>
      <c r="K5" s="327"/>
      <c r="L5" s="327"/>
      <c r="M5" s="332"/>
      <c r="N5" s="469"/>
    </row>
    <row r="6" spans="1:14" ht="99" customHeight="1" thickBot="1">
      <c r="A6" s="466"/>
      <c r="B6" s="478"/>
      <c r="C6" s="409" t="s">
        <v>385</v>
      </c>
      <c r="D6" s="811" t="s">
        <v>712</v>
      </c>
      <c r="E6" s="812"/>
      <c r="F6" s="812"/>
      <c r="G6" s="812"/>
      <c r="H6" s="812"/>
      <c r="I6" s="812"/>
      <c r="J6" s="812"/>
      <c r="K6" s="812"/>
      <c r="L6" s="813"/>
      <c r="M6" s="332"/>
      <c r="N6" s="469"/>
    </row>
    <row r="7" spans="1:14" ht="4.2" customHeight="1" thickBot="1">
      <c r="A7" s="466"/>
      <c r="B7" s="478"/>
      <c r="C7" s="487"/>
      <c r="D7" s="484"/>
      <c r="E7" s="484"/>
      <c r="F7" s="484"/>
      <c r="G7" s="488"/>
      <c r="H7" s="485"/>
      <c r="I7" s="485"/>
      <c r="J7" s="485"/>
      <c r="K7" s="485"/>
      <c r="L7" s="485"/>
      <c r="M7" s="332"/>
      <c r="N7" s="469"/>
    </row>
    <row r="8" spans="1:14" ht="205.2" customHeight="1" thickBot="1">
      <c r="A8" s="466"/>
      <c r="B8" s="478"/>
      <c r="C8" s="408" t="s">
        <v>247</v>
      </c>
      <c r="D8" s="802" t="s">
        <v>460</v>
      </c>
      <c r="E8" s="803"/>
      <c r="F8" s="803"/>
      <c r="G8" s="803"/>
      <c r="H8" s="803"/>
      <c r="I8" s="803"/>
      <c r="J8" s="803"/>
      <c r="K8" s="803"/>
      <c r="L8" s="804"/>
      <c r="M8" s="332"/>
      <c r="N8" s="469"/>
    </row>
    <row r="9" spans="1:14" ht="4.2" customHeight="1" thickBot="1">
      <c r="A9" s="466"/>
      <c r="B9" s="478"/>
      <c r="C9" s="487"/>
      <c r="D9" s="484"/>
      <c r="E9" s="484"/>
      <c r="F9" s="484"/>
      <c r="G9" s="488"/>
      <c r="H9" s="485"/>
      <c r="I9" s="485"/>
      <c r="J9" s="485"/>
      <c r="K9" s="485"/>
      <c r="L9" s="485"/>
      <c r="M9" s="332"/>
      <c r="N9" s="469"/>
    </row>
    <row r="10" spans="1:14" ht="273.60000000000002" customHeight="1" thickBot="1">
      <c r="A10" s="466"/>
      <c r="B10" s="478"/>
      <c r="C10" s="401" t="s">
        <v>204</v>
      </c>
      <c r="D10" s="805" t="s">
        <v>713</v>
      </c>
      <c r="E10" s="806"/>
      <c r="F10" s="806"/>
      <c r="G10" s="806"/>
      <c r="H10" s="806"/>
      <c r="I10" s="806"/>
      <c r="J10" s="806"/>
      <c r="K10" s="806"/>
      <c r="L10" s="807"/>
      <c r="M10" s="332"/>
      <c r="N10" s="469"/>
    </row>
    <row r="11" spans="1:14" ht="4.2" customHeight="1" thickBot="1">
      <c r="A11" s="466"/>
      <c r="B11" s="478"/>
      <c r="C11" s="487"/>
      <c r="D11" s="484"/>
      <c r="E11" s="484"/>
      <c r="F11" s="484"/>
      <c r="G11" s="488"/>
      <c r="H11" s="485"/>
      <c r="I11" s="485"/>
      <c r="J11" s="485"/>
      <c r="K11" s="485"/>
      <c r="L11" s="485"/>
      <c r="M11" s="332"/>
      <c r="N11" s="469"/>
    </row>
    <row r="12" spans="1:14" ht="97.2" customHeight="1" thickBot="1">
      <c r="A12" s="466"/>
      <c r="B12" s="478"/>
      <c r="C12" s="410" t="s">
        <v>386</v>
      </c>
      <c r="D12" s="808" t="s">
        <v>362</v>
      </c>
      <c r="E12" s="809"/>
      <c r="F12" s="809"/>
      <c r="G12" s="809"/>
      <c r="H12" s="809"/>
      <c r="I12" s="809"/>
      <c r="J12" s="809"/>
      <c r="K12" s="809"/>
      <c r="L12" s="810"/>
      <c r="M12" s="332"/>
      <c r="N12" s="469"/>
    </row>
    <row r="13" spans="1:14" ht="4.2" customHeight="1" thickBot="1">
      <c r="A13" s="466"/>
      <c r="B13" s="478"/>
      <c r="C13" s="487"/>
      <c r="D13" s="484"/>
      <c r="E13" s="484"/>
      <c r="F13" s="484"/>
      <c r="G13" s="488"/>
      <c r="H13" s="485"/>
      <c r="I13" s="485"/>
      <c r="J13" s="485"/>
      <c r="K13" s="485"/>
      <c r="L13" s="485"/>
      <c r="M13" s="332"/>
      <c r="N13" s="469"/>
    </row>
    <row r="14" spans="1:14" ht="39.6" customHeight="1" thickBot="1">
      <c r="A14" s="466"/>
      <c r="B14" s="478"/>
      <c r="C14" s="409" t="s">
        <v>7</v>
      </c>
      <c r="D14" s="805" t="s">
        <v>267</v>
      </c>
      <c r="E14" s="814"/>
      <c r="F14" s="814"/>
      <c r="G14" s="814"/>
      <c r="H14" s="814"/>
      <c r="I14" s="814"/>
      <c r="J14" s="814"/>
      <c r="K14" s="814"/>
      <c r="L14" s="815"/>
      <c r="M14" s="332"/>
      <c r="N14" s="469"/>
    </row>
    <row r="15" spans="1:14" ht="4.2" customHeight="1" thickBot="1">
      <c r="A15" s="466"/>
      <c r="B15" s="478"/>
      <c r="C15" s="487"/>
      <c r="D15" s="484"/>
      <c r="E15" s="484"/>
      <c r="F15" s="484"/>
      <c r="G15" s="488"/>
      <c r="H15" s="485"/>
      <c r="I15" s="485"/>
      <c r="J15" s="485"/>
      <c r="K15" s="485"/>
      <c r="L15" s="485"/>
      <c r="M15" s="332"/>
      <c r="N15" s="469"/>
    </row>
    <row r="16" spans="1:14" ht="97.95" customHeight="1" thickBot="1">
      <c r="A16" s="466"/>
      <c r="B16" s="478"/>
      <c r="C16" s="410" t="s">
        <v>387</v>
      </c>
      <c r="D16" s="805" t="s">
        <v>363</v>
      </c>
      <c r="E16" s="814"/>
      <c r="F16" s="814"/>
      <c r="G16" s="814"/>
      <c r="H16" s="814"/>
      <c r="I16" s="814"/>
      <c r="J16" s="814"/>
      <c r="K16" s="814"/>
      <c r="L16" s="815"/>
      <c r="M16" s="332"/>
      <c r="N16" s="469"/>
    </row>
    <row r="17" spans="1:14" ht="4.2" customHeight="1" thickBot="1">
      <c r="A17" s="466"/>
      <c r="B17" s="478"/>
      <c r="C17" s="487"/>
      <c r="D17" s="484"/>
      <c r="E17" s="484"/>
      <c r="F17" s="484"/>
      <c r="G17" s="488"/>
      <c r="H17" s="485"/>
      <c r="I17" s="485"/>
      <c r="J17" s="485"/>
      <c r="K17" s="485"/>
      <c r="L17" s="485"/>
      <c r="M17" s="332"/>
      <c r="N17" s="469"/>
    </row>
    <row r="18" spans="1:14" ht="70.95" customHeight="1" thickBot="1">
      <c r="A18" s="466"/>
      <c r="B18" s="478"/>
      <c r="C18" s="410" t="s">
        <v>388</v>
      </c>
      <c r="D18" s="805" t="s">
        <v>364</v>
      </c>
      <c r="E18" s="814"/>
      <c r="F18" s="814"/>
      <c r="G18" s="814"/>
      <c r="H18" s="814"/>
      <c r="I18" s="814"/>
      <c r="J18" s="814"/>
      <c r="K18" s="814"/>
      <c r="L18" s="815"/>
      <c r="M18" s="332"/>
      <c r="N18" s="469"/>
    </row>
    <row r="19" spans="1:14" ht="4.2" customHeight="1" thickBot="1">
      <c r="A19" s="466"/>
      <c r="B19" s="478"/>
      <c r="C19" s="487"/>
      <c r="D19" s="484"/>
      <c r="E19" s="484"/>
      <c r="F19" s="484"/>
      <c r="G19" s="488"/>
      <c r="H19" s="485"/>
      <c r="I19" s="485"/>
      <c r="J19" s="485"/>
      <c r="K19" s="485"/>
      <c r="L19" s="485"/>
      <c r="M19" s="332"/>
      <c r="N19" s="469"/>
    </row>
    <row r="20" spans="1:14" s="398" customFormat="1" ht="232.95" customHeight="1" thickBot="1">
      <c r="A20" s="472"/>
      <c r="B20" s="480"/>
      <c r="C20" s="409" t="s">
        <v>157</v>
      </c>
      <c r="D20" s="808" t="s">
        <v>391</v>
      </c>
      <c r="E20" s="809"/>
      <c r="F20" s="809"/>
      <c r="G20" s="809"/>
      <c r="H20" s="809"/>
      <c r="I20" s="809"/>
      <c r="J20" s="809"/>
      <c r="K20" s="809"/>
      <c r="L20" s="810"/>
      <c r="M20" s="482"/>
      <c r="N20" s="470"/>
    </row>
    <row r="21" spans="1:14" ht="4.2" customHeight="1" thickBot="1">
      <c r="A21" s="466"/>
      <c r="B21" s="478"/>
      <c r="C21" s="487"/>
      <c r="D21" s="484"/>
      <c r="E21" s="484"/>
      <c r="F21" s="484"/>
      <c r="G21" s="488"/>
      <c r="H21" s="485"/>
      <c r="I21" s="485"/>
      <c r="J21" s="485"/>
      <c r="K21" s="485"/>
      <c r="L21" s="485"/>
      <c r="M21" s="332"/>
      <c r="N21" s="469"/>
    </row>
    <row r="22" spans="1:14" ht="177.6" customHeight="1" thickBot="1">
      <c r="A22" s="466"/>
      <c r="B22" s="478"/>
      <c r="C22" s="409" t="s">
        <v>23</v>
      </c>
      <c r="D22" s="808" t="s">
        <v>373</v>
      </c>
      <c r="E22" s="809"/>
      <c r="F22" s="809"/>
      <c r="G22" s="809"/>
      <c r="H22" s="809"/>
      <c r="I22" s="809"/>
      <c r="J22" s="809"/>
      <c r="K22" s="809"/>
      <c r="L22" s="810"/>
      <c r="M22" s="332"/>
      <c r="N22" s="469"/>
    </row>
    <row r="23" spans="1:14" ht="4.2" customHeight="1" thickBot="1">
      <c r="A23" s="466"/>
      <c r="B23" s="478"/>
      <c r="C23" s="487"/>
      <c r="D23" s="484"/>
      <c r="E23" s="484"/>
      <c r="F23" s="484"/>
      <c r="G23" s="488"/>
      <c r="H23" s="485"/>
      <c r="I23" s="485"/>
      <c r="J23" s="485"/>
      <c r="K23" s="485"/>
      <c r="L23" s="485"/>
      <c r="M23" s="332"/>
      <c r="N23" s="469"/>
    </row>
    <row r="24" spans="1:14" ht="68.400000000000006" customHeight="1" thickBot="1">
      <c r="A24" s="466"/>
      <c r="B24" s="478"/>
      <c r="C24" s="411" t="s">
        <v>78</v>
      </c>
      <c r="D24" s="805" t="s">
        <v>118</v>
      </c>
      <c r="E24" s="814"/>
      <c r="F24" s="814"/>
      <c r="G24" s="814"/>
      <c r="H24" s="814"/>
      <c r="I24" s="814"/>
      <c r="J24" s="814"/>
      <c r="K24" s="814"/>
      <c r="L24" s="815"/>
      <c r="M24" s="332"/>
      <c r="N24" s="469"/>
    </row>
    <row r="25" spans="1:14" ht="4.2" customHeight="1" thickBot="1">
      <c r="A25" s="466"/>
      <c r="B25" s="478"/>
      <c r="C25" s="487"/>
      <c r="D25" s="484"/>
      <c r="E25" s="484"/>
      <c r="F25" s="484"/>
      <c r="G25" s="488"/>
      <c r="H25" s="485"/>
      <c r="I25" s="485"/>
      <c r="J25" s="485"/>
      <c r="K25" s="485"/>
      <c r="L25" s="485"/>
      <c r="M25" s="332"/>
      <c r="N25" s="469"/>
    </row>
    <row r="26" spans="1:14" ht="151.94999999999999" customHeight="1" thickBot="1">
      <c r="A26" s="466"/>
      <c r="B26" s="478"/>
      <c r="C26" s="401" t="s">
        <v>122</v>
      </c>
      <c r="D26" s="808" t="s">
        <v>365</v>
      </c>
      <c r="E26" s="809"/>
      <c r="F26" s="809"/>
      <c r="G26" s="809"/>
      <c r="H26" s="809"/>
      <c r="I26" s="809"/>
      <c r="J26" s="809"/>
      <c r="K26" s="809"/>
      <c r="L26" s="810"/>
      <c r="M26" s="332"/>
      <c r="N26" s="469"/>
    </row>
    <row r="27" spans="1:14" ht="4.2" customHeight="1" thickBot="1">
      <c r="A27" s="466"/>
      <c r="B27" s="478"/>
      <c r="C27" s="487"/>
      <c r="D27" s="484"/>
      <c r="E27" s="484"/>
      <c r="F27" s="484"/>
      <c r="G27" s="488"/>
      <c r="H27" s="485"/>
      <c r="I27" s="485"/>
      <c r="J27" s="485"/>
      <c r="K27" s="485"/>
      <c r="L27" s="485"/>
      <c r="M27" s="332"/>
      <c r="N27" s="469"/>
    </row>
    <row r="28" spans="1:14" ht="54.6" customHeight="1" thickBot="1">
      <c r="A28" s="466"/>
      <c r="B28" s="478"/>
      <c r="C28" s="410" t="s">
        <v>20</v>
      </c>
      <c r="D28" s="816" t="s">
        <v>366</v>
      </c>
      <c r="E28" s="820"/>
      <c r="F28" s="820"/>
      <c r="G28" s="820"/>
      <c r="H28" s="820"/>
      <c r="I28" s="820"/>
      <c r="J28" s="820"/>
      <c r="K28" s="820"/>
      <c r="L28" s="821"/>
      <c r="M28" s="332"/>
      <c r="N28" s="469"/>
    </row>
    <row r="29" spans="1:14" ht="4.2" customHeight="1" thickBot="1">
      <c r="A29" s="466"/>
      <c r="B29" s="478"/>
      <c r="C29" s="487"/>
      <c r="D29" s="484"/>
      <c r="E29" s="484"/>
      <c r="F29" s="484"/>
      <c r="G29" s="488"/>
      <c r="H29" s="485"/>
      <c r="I29" s="485"/>
      <c r="J29" s="485"/>
      <c r="K29" s="485"/>
      <c r="L29" s="485"/>
      <c r="M29" s="332"/>
      <c r="N29" s="469"/>
    </row>
    <row r="30" spans="1:14" ht="80.400000000000006" customHeight="1" thickBot="1">
      <c r="A30" s="466"/>
      <c r="B30" s="478"/>
      <c r="C30" s="410" t="s">
        <v>381</v>
      </c>
      <c r="D30" s="808" t="s">
        <v>390</v>
      </c>
      <c r="E30" s="809"/>
      <c r="F30" s="809"/>
      <c r="G30" s="809"/>
      <c r="H30" s="809"/>
      <c r="I30" s="809"/>
      <c r="J30" s="809"/>
      <c r="K30" s="809"/>
      <c r="L30" s="810"/>
      <c r="M30" s="332"/>
      <c r="N30" s="469"/>
    </row>
    <row r="31" spans="1:14" ht="4.2" customHeight="1" thickBot="1">
      <c r="A31" s="466"/>
      <c r="B31" s="478"/>
      <c r="C31" s="487"/>
      <c r="D31" s="484"/>
      <c r="E31" s="484"/>
      <c r="F31" s="484"/>
      <c r="G31" s="488"/>
      <c r="H31" s="485"/>
      <c r="I31" s="485"/>
      <c r="J31" s="485"/>
      <c r="K31" s="485"/>
      <c r="L31" s="485"/>
      <c r="M31" s="332"/>
      <c r="N31" s="469"/>
    </row>
    <row r="32" spans="1:14" ht="56.4" customHeight="1" thickBot="1">
      <c r="A32" s="466"/>
      <c r="B32" s="478"/>
      <c r="C32" s="410" t="s">
        <v>121</v>
      </c>
      <c r="D32" s="808" t="s">
        <v>367</v>
      </c>
      <c r="E32" s="809"/>
      <c r="F32" s="809"/>
      <c r="G32" s="809"/>
      <c r="H32" s="809"/>
      <c r="I32" s="809"/>
      <c r="J32" s="809"/>
      <c r="K32" s="809"/>
      <c r="L32" s="810"/>
      <c r="M32" s="332"/>
      <c r="N32" s="469"/>
    </row>
    <row r="33" spans="1:14" ht="4.2" customHeight="1" thickBot="1">
      <c r="A33" s="466"/>
      <c r="B33" s="478"/>
      <c r="C33" s="487"/>
      <c r="D33" s="484"/>
      <c r="E33" s="484"/>
      <c r="F33" s="484"/>
      <c r="G33" s="488"/>
      <c r="H33" s="485"/>
      <c r="I33" s="485"/>
      <c r="J33" s="485"/>
      <c r="K33" s="485"/>
      <c r="L33" s="485"/>
      <c r="M33" s="332"/>
      <c r="N33" s="469"/>
    </row>
    <row r="34" spans="1:14" ht="24.6" customHeight="1" thickBot="1">
      <c r="A34" s="466"/>
      <c r="B34" s="478"/>
      <c r="C34" s="409" t="s">
        <v>8</v>
      </c>
      <c r="D34" s="819" t="s">
        <v>368</v>
      </c>
      <c r="E34" s="817"/>
      <c r="F34" s="817"/>
      <c r="G34" s="817"/>
      <c r="H34" s="817"/>
      <c r="I34" s="817"/>
      <c r="J34" s="817"/>
      <c r="K34" s="817"/>
      <c r="L34" s="818"/>
      <c r="M34" s="332"/>
      <c r="N34" s="469"/>
    </row>
    <row r="35" spans="1:14" ht="4.2" customHeight="1" thickBot="1">
      <c r="A35" s="466"/>
      <c r="B35" s="478"/>
      <c r="C35" s="487"/>
      <c r="D35" s="484"/>
      <c r="E35" s="484"/>
      <c r="F35" s="484"/>
      <c r="G35" s="488"/>
      <c r="H35" s="485"/>
      <c r="I35" s="485"/>
      <c r="J35" s="485"/>
      <c r="K35" s="485"/>
      <c r="L35" s="485"/>
      <c r="M35" s="332"/>
      <c r="N35" s="469"/>
    </row>
    <row r="36" spans="1:14" ht="68.400000000000006" customHeight="1" thickBot="1">
      <c r="A36" s="466"/>
      <c r="B36" s="478"/>
      <c r="C36" s="410" t="s">
        <v>370</v>
      </c>
      <c r="D36" s="816" t="s">
        <v>369</v>
      </c>
      <c r="E36" s="817"/>
      <c r="F36" s="817"/>
      <c r="G36" s="817"/>
      <c r="H36" s="817"/>
      <c r="I36" s="817"/>
      <c r="J36" s="817"/>
      <c r="K36" s="817"/>
      <c r="L36" s="818"/>
      <c r="M36" s="332"/>
      <c r="N36" s="469"/>
    </row>
    <row r="37" spans="1:14" ht="4.2" customHeight="1" thickBot="1">
      <c r="A37" s="466"/>
      <c r="B37" s="478"/>
      <c r="C37" s="487"/>
      <c r="D37" s="484"/>
      <c r="E37" s="484"/>
      <c r="F37" s="484"/>
      <c r="G37" s="488"/>
      <c r="H37" s="485"/>
      <c r="I37" s="485"/>
      <c r="J37" s="485"/>
      <c r="K37" s="485"/>
      <c r="L37" s="485"/>
      <c r="M37" s="332"/>
      <c r="N37" s="469"/>
    </row>
    <row r="38" spans="1:14" ht="366.6" customHeight="1" thickBot="1">
      <c r="A38" s="466"/>
      <c r="B38" s="478"/>
      <c r="C38" s="409" t="s">
        <v>19</v>
      </c>
      <c r="D38" s="808" t="s">
        <v>714</v>
      </c>
      <c r="E38" s="809"/>
      <c r="F38" s="809"/>
      <c r="G38" s="809"/>
      <c r="H38" s="809"/>
      <c r="I38" s="809"/>
      <c r="J38" s="809"/>
      <c r="K38" s="809"/>
      <c r="L38" s="810"/>
      <c r="M38" s="332"/>
      <c r="N38" s="469"/>
    </row>
    <row r="39" spans="1:14" ht="4.2" customHeight="1" thickBot="1">
      <c r="A39" s="466"/>
      <c r="B39" s="478"/>
      <c r="C39" s="487"/>
      <c r="D39" s="484"/>
      <c r="E39" s="484"/>
      <c r="F39" s="484"/>
      <c r="G39" s="488"/>
      <c r="H39" s="485"/>
      <c r="I39" s="485"/>
      <c r="J39" s="485"/>
      <c r="K39" s="485"/>
      <c r="L39" s="485"/>
      <c r="M39" s="332"/>
      <c r="N39" s="469"/>
    </row>
    <row r="40" spans="1:14" ht="86.4" customHeight="1" thickBot="1">
      <c r="A40" s="466"/>
      <c r="B40" s="478"/>
      <c r="C40" s="410" t="s">
        <v>22</v>
      </c>
      <c r="D40" s="808" t="s">
        <v>371</v>
      </c>
      <c r="E40" s="809"/>
      <c r="F40" s="809"/>
      <c r="G40" s="809"/>
      <c r="H40" s="809"/>
      <c r="I40" s="809"/>
      <c r="J40" s="809"/>
      <c r="K40" s="809"/>
      <c r="L40" s="810"/>
      <c r="M40" s="332"/>
      <c r="N40" s="469"/>
    </row>
    <row r="41" spans="1:14" ht="4.2" customHeight="1" thickBot="1">
      <c r="A41" s="466"/>
      <c r="B41" s="478"/>
      <c r="C41" s="487"/>
      <c r="D41" s="484"/>
      <c r="E41" s="484"/>
      <c r="F41" s="484"/>
      <c r="G41" s="488"/>
      <c r="H41" s="485"/>
      <c r="I41" s="485"/>
      <c r="J41" s="485"/>
      <c r="K41" s="485"/>
      <c r="L41" s="485"/>
      <c r="M41" s="332"/>
      <c r="N41" s="469"/>
    </row>
    <row r="42" spans="1:14" ht="151.19999999999999" customHeight="1" thickBot="1">
      <c r="A42" s="466"/>
      <c r="B42" s="478"/>
      <c r="C42" s="409" t="s">
        <v>18</v>
      </c>
      <c r="D42" s="808" t="s">
        <v>372</v>
      </c>
      <c r="E42" s="809"/>
      <c r="F42" s="809"/>
      <c r="G42" s="809"/>
      <c r="H42" s="809"/>
      <c r="I42" s="809"/>
      <c r="J42" s="809"/>
      <c r="K42" s="809"/>
      <c r="L42" s="810"/>
      <c r="M42" s="332"/>
      <c r="N42" s="469"/>
    </row>
    <row r="43" spans="1:14" ht="4.2" customHeight="1" thickBot="1">
      <c r="A43" s="466"/>
      <c r="B43" s="478"/>
      <c r="C43" s="487"/>
      <c r="D43" s="484"/>
      <c r="E43" s="484"/>
      <c r="F43" s="484"/>
      <c r="G43" s="488"/>
      <c r="H43" s="485"/>
      <c r="I43" s="485"/>
      <c r="J43" s="485"/>
      <c r="K43" s="485"/>
      <c r="L43" s="485"/>
      <c r="M43" s="332"/>
      <c r="N43" s="469"/>
    </row>
    <row r="44" spans="1:14" ht="130.5" customHeight="1">
      <c r="A44" s="466"/>
      <c r="B44" s="478"/>
      <c r="C44" s="822" t="s">
        <v>77</v>
      </c>
      <c r="D44" s="824" t="s">
        <v>760</v>
      </c>
      <c r="E44" s="825"/>
      <c r="F44" s="825"/>
      <c r="G44" s="825"/>
      <c r="H44" s="825"/>
      <c r="I44" s="825"/>
      <c r="J44" s="825"/>
      <c r="K44" s="825"/>
      <c r="L44" s="826"/>
      <c r="M44" s="332"/>
      <c r="N44" s="469"/>
    </row>
    <row r="45" spans="1:14" ht="204" customHeight="1" thickBot="1">
      <c r="A45" s="466"/>
      <c r="B45" s="478"/>
      <c r="C45" s="823"/>
      <c r="D45" s="827"/>
      <c r="E45" s="828"/>
      <c r="F45" s="828"/>
      <c r="G45" s="828"/>
      <c r="H45" s="828"/>
      <c r="I45" s="828"/>
      <c r="J45" s="828"/>
      <c r="K45" s="828"/>
      <c r="L45" s="829"/>
      <c r="M45" s="332"/>
      <c r="N45" s="469"/>
    </row>
    <row r="46" spans="1:14" ht="4.2" customHeight="1" thickBot="1">
      <c r="A46" s="466"/>
      <c r="B46" s="478"/>
      <c r="C46" s="487"/>
      <c r="D46" s="484"/>
      <c r="E46" s="484"/>
      <c r="F46" s="484"/>
      <c r="G46" s="488"/>
      <c r="H46" s="485"/>
      <c r="I46" s="485"/>
      <c r="J46" s="485"/>
      <c r="K46" s="485"/>
      <c r="L46" s="485"/>
      <c r="M46" s="332"/>
      <c r="N46" s="469"/>
    </row>
    <row r="47" spans="1:14" ht="73.2" customHeight="1" thickBot="1">
      <c r="A47" s="466"/>
      <c r="B47" s="478"/>
      <c r="C47" s="409" t="s">
        <v>10</v>
      </c>
      <c r="D47" s="805" t="s">
        <v>374</v>
      </c>
      <c r="E47" s="814"/>
      <c r="F47" s="814"/>
      <c r="G47" s="814"/>
      <c r="H47" s="814"/>
      <c r="I47" s="814"/>
      <c r="J47" s="814"/>
      <c r="K47" s="814"/>
      <c r="L47" s="815"/>
      <c r="M47" s="332"/>
      <c r="N47" s="469"/>
    </row>
    <row r="48" spans="1:14" ht="4.2" customHeight="1" thickBot="1">
      <c r="A48" s="466"/>
      <c r="B48" s="478"/>
      <c r="C48" s="489"/>
      <c r="D48" s="490"/>
      <c r="E48" s="490"/>
      <c r="F48" s="490"/>
      <c r="G48" s="491"/>
      <c r="H48" s="484"/>
      <c r="I48" s="484"/>
      <c r="J48" s="484"/>
      <c r="K48" s="484"/>
      <c r="L48" s="484"/>
      <c r="M48" s="332"/>
      <c r="N48" s="469"/>
    </row>
    <row r="49" spans="1:14" ht="61.95" customHeight="1" thickBot="1">
      <c r="A49" s="466"/>
      <c r="B49" s="478"/>
      <c r="C49" s="410" t="s">
        <v>156</v>
      </c>
      <c r="D49" s="808" t="s">
        <v>375</v>
      </c>
      <c r="E49" s="809"/>
      <c r="F49" s="809"/>
      <c r="G49" s="809"/>
      <c r="H49" s="809"/>
      <c r="I49" s="809"/>
      <c r="J49" s="809"/>
      <c r="K49" s="809"/>
      <c r="L49" s="810"/>
      <c r="M49" s="332"/>
      <c r="N49" s="469"/>
    </row>
    <row r="50" spans="1:14" ht="4.2" customHeight="1" thickBot="1">
      <c r="A50" s="466"/>
      <c r="B50" s="478"/>
      <c r="C50" s="489"/>
      <c r="D50" s="490"/>
      <c r="E50" s="490"/>
      <c r="F50" s="490"/>
      <c r="G50" s="491"/>
      <c r="H50" s="484"/>
      <c r="I50" s="484"/>
      <c r="J50" s="484"/>
      <c r="K50" s="484"/>
      <c r="L50" s="484"/>
      <c r="M50" s="332"/>
      <c r="N50" s="469"/>
    </row>
    <row r="51" spans="1:14" ht="165" customHeight="1" thickBot="1">
      <c r="A51" s="466"/>
      <c r="B51" s="478"/>
      <c r="C51" s="409" t="s">
        <v>155</v>
      </c>
      <c r="D51" s="808" t="s">
        <v>380</v>
      </c>
      <c r="E51" s="809"/>
      <c r="F51" s="809"/>
      <c r="G51" s="809"/>
      <c r="H51" s="809"/>
      <c r="I51" s="809"/>
      <c r="J51" s="809"/>
      <c r="K51" s="809"/>
      <c r="L51" s="810"/>
      <c r="M51" s="332"/>
      <c r="N51" s="469"/>
    </row>
    <row r="52" spans="1:14" ht="4.2" customHeight="1" thickBot="1">
      <c r="A52" s="466"/>
      <c r="B52" s="478"/>
      <c r="C52" s="487"/>
      <c r="D52" s="484"/>
      <c r="E52" s="484"/>
      <c r="F52" s="484"/>
      <c r="G52" s="488"/>
      <c r="H52" s="485"/>
      <c r="I52" s="485"/>
      <c r="J52" s="485"/>
      <c r="K52" s="485"/>
      <c r="L52" s="485"/>
      <c r="M52" s="332"/>
      <c r="N52" s="469"/>
    </row>
    <row r="53" spans="1:14" ht="102" customHeight="1">
      <c r="A53" s="466"/>
      <c r="B53" s="478"/>
      <c r="C53" s="822" t="s">
        <v>56</v>
      </c>
      <c r="D53" s="830" t="s">
        <v>2</v>
      </c>
      <c r="E53" s="831"/>
      <c r="F53" s="831"/>
      <c r="G53" s="831"/>
      <c r="H53" s="831"/>
      <c r="I53" s="831"/>
      <c r="J53" s="831"/>
      <c r="K53" s="831"/>
      <c r="L53" s="832"/>
      <c r="M53" s="332"/>
      <c r="N53" s="469"/>
    </row>
    <row r="54" spans="1:14" ht="18" customHeight="1">
      <c r="A54" s="466"/>
      <c r="B54" s="478"/>
      <c r="C54" s="834"/>
      <c r="D54" s="415"/>
      <c r="E54" s="833" t="s">
        <v>235</v>
      </c>
      <c r="F54" s="833"/>
      <c r="G54" s="416" t="s">
        <v>233</v>
      </c>
      <c r="H54" s="416"/>
      <c r="I54" s="836" t="s">
        <v>234</v>
      </c>
      <c r="J54" s="836"/>
      <c r="K54" s="417"/>
      <c r="L54" s="418"/>
      <c r="M54" s="332"/>
      <c r="N54" s="469"/>
    </row>
    <row r="55" spans="1:14" ht="18.75" customHeight="1">
      <c r="A55" s="466"/>
      <c r="B55" s="478"/>
      <c r="C55" s="834"/>
      <c r="D55" s="419"/>
      <c r="E55" s="837">
        <v>1</v>
      </c>
      <c r="F55" s="838"/>
      <c r="G55" s="42" t="s">
        <v>229</v>
      </c>
      <c r="H55" s="40" t="s">
        <v>232</v>
      </c>
      <c r="I55" s="41">
        <f>E55*INDEX(Sheet1!N2:P4,MATCH(G55,Sheet1!M2:M4,0),MATCH(J55,Sheet1!N1:P1,0))</f>
        <v>3.068883289737228</v>
      </c>
      <c r="J55" s="42" t="s">
        <v>54</v>
      </c>
      <c r="K55" s="417"/>
      <c r="L55" s="418"/>
      <c r="M55" s="332"/>
      <c r="N55" s="469"/>
    </row>
    <row r="56" spans="1:14" ht="18" customHeight="1">
      <c r="A56" s="466"/>
      <c r="B56" s="478"/>
      <c r="C56" s="834"/>
      <c r="D56" s="415"/>
      <c r="E56" s="420"/>
      <c r="F56" s="420"/>
      <c r="G56" s="835" t="str">
        <f>"(conversion factor = "&amp;INDEX(Sheet1!N2:P4,MATCH(G55,Sheet1!M2:M4,0),MATCH(J55,Sheet1!N1:P1,0))&amp;")"</f>
        <v>(conversion factor = 3.06888328973723)</v>
      </c>
      <c r="H56" s="835"/>
      <c r="I56" s="835"/>
      <c r="J56" s="835"/>
      <c r="K56" s="417"/>
      <c r="L56" s="418"/>
      <c r="M56" s="332"/>
      <c r="N56" s="469"/>
    </row>
    <row r="57" spans="1:14" ht="3.75" customHeight="1" thickBot="1">
      <c r="A57" s="466"/>
      <c r="B57" s="478"/>
      <c r="C57" s="823"/>
      <c r="D57" s="421"/>
      <c r="E57" s="422"/>
      <c r="F57" s="422"/>
      <c r="G57" s="423"/>
      <c r="H57" s="424"/>
      <c r="I57" s="424"/>
      <c r="J57" s="424"/>
      <c r="K57" s="424"/>
      <c r="L57" s="425"/>
      <c r="M57" s="332"/>
      <c r="N57" s="469"/>
    </row>
    <row r="58" spans="1:14" ht="4.2" customHeight="1" thickBot="1">
      <c r="A58" s="466"/>
      <c r="B58" s="478"/>
      <c r="C58" s="483"/>
      <c r="D58" s="484"/>
      <c r="E58" s="484"/>
      <c r="F58" s="484"/>
      <c r="G58" s="485"/>
      <c r="H58" s="485"/>
      <c r="I58" s="485"/>
      <c r="J58" s="485"/>
      <c r="K58" s="485"/>
      <c r="L58" s="485"/>
      <c r="M58" s="332"/>
      <c r="N58" s="469"/>
    </row>
    <row r="59" spans="1:14" ht="183" customHeight="1" thickBot="1">
      <c r="A59" s="466"/>
      <c r="B59" s="478"/>
      <c r="C59" s="408" t="s">
        <v>206</v>
      </c>
      <c r="D59" s="839"/>
      <c r="E59" s="840"/>
      <c r="F59" s="840"/>
      <c r="G59" s="840"/>
      <c r="H59" s="840"/>
      <c r="I59" s="840"/>
      <c r="J59" s="840"/>
      <c r="K59" s="840"/>
      <c r="L59" s="841"/>
      <c r="M59" s="332"/>
      <c r="N59" s="469"/>
    </row>
    <row r="60" spans="1:14" ht="4.2" customHeight="1" thickBot="1">
      <c r="A60" s="466"/>
      <c r="B60" s="478"/>
      <c r="C60" s="483"/>
      <c r="D60" s="484"/>
      <c r="E60" s="484"/>
      <c r="F60" s="484"/>
      <c r="G60" s="485"/>
      <c r="H60" s="485"/>
      <c r="I60" s="485"/>
      <c r="J60" s="485"/>
      <c r="K60" s="485"/>
      <c r="L60" s="485"/>
      <c r="M60" s="332"/>
      <c r="N60" s="469"/>
    </row>
    <row r="61" spans="1:14" ht="138.6" customHeight="1" thickBot="1">
      <c r="A61" s="466"/>
      <c r="B61" s="478"/>
      <c r="C61" s="408" t="s">
        <v>168</v>
      </c>
      <c r="D61" s="808" t="s">
        <v>715</v>
      </c>
      <c r="E61" s="809"/>
      <c r="F61" s="809"/>
      <c r="G61" s="809"/>
      <c r="H61" s="809"/>
      <c r="I61" s="809"/>
      <c r="J61" s="809"/>
      <c r="K61" s="809"/>
      <c r="L61" s="810"/>
      <c r="M61" s="332"/>
      <c r="N61" s="469"/>
    </row>
    <row r="62" spans="1:14" ht="4.2" customHeight="1" thickBot="1">
      <c r="A62" s="466"/>
      <c r="B62" s="478"/>
      <c r="C62" s="483"/>
      <c r="D62" s="484"/>
      <c r="E62" s="484"/>
      <c r="F62" s="484"/>
      <c r="G62" s="485"/>
      <c r="H62" s="485"/>
      <c r="I62" s="485"/>
      <c r="J62" s="485"/>
      <c r="K62" s="485"/>
      <c r="L62" s="485"/>
      <c r="M62" s="332"/>
      <c r="N62" s="469"/>
    </row>
    <row r="63" spans="1:14" ht="99" customHeight="1" thickBot="1">
      <c r="A63" s="466"/>
      <c r="B63" s="478"/>
      <c r="C63" s="408" t="s">
        <v>153</v>
      </c>
      <c r="D63" s="805" t="s">
        <v>376</v>
      </c>
      <c r="E63" s="814"/>
      <c r="F63" s="814"/>
      <c r="G63" s="814"/>
      <c r="H63" s="814"/>
      <c r="I63" s="814"/>
      <c r="J63" s="814"/>
      <c r="K63" s="814"/>
      <c r="L63" s="815"/>
      <c r="M63" s="332"/>
      <c r="N63" s="469"/>
    </row>
    <row r="64" spans="1:14" ht="4.2" customHeight="1" thickBot="1">
      <c r="A64" s="466"/>
      <c r="B64" s="478"/>
      <c r="C64" s="483"/>
      <c r="D64" s="484"/>
      <c r="E64" s="484"/>
      <c r="F64" s="484"/>
      <c r="G64" s="485"/>
      <c r="H64" s="485"/>
      <c r="I64" s="485"/>
      <c r="J64" s="485"/>
      <c r="K64" s="485"/>
      <c r="L64" s="485"/>
      <c r="M64" s="332"/>
      <c r="N64" s="469"/>
    </row>
    <row r="65" spans="1:14" ht="99.6" customHeight="1" thickBot="1">
      <c r="A65" s="466"/>
      <c r="B65" s="478"/>
      <c r="C65" s="411" t="s">
        <v>747</v>
      </c>
      <c r="D65" s="805" t="s">
        <v>379</v>
      </c>
      <c r="E65" s="814"/>
      <c r="F65" s="814"/>
      <c r="G65" s="814"/>
      <c r="H65" s="814"/>
      <c r="I65" s="814"/>
      <c r="J65" s="814"/>
      <c r="K65" s="814"/>
      <c r="L65" s="815"/>
      <c r="M65" s="332"/>
      <c r="N65" s="469"/>
    </row>
    <row r="66" spans="1:14" ht="4.2" customHeight="1" thickBot="1">
      <c r="A66" s="466"/>
      <c r="B66" s="478"/>
      <c r="C66" s="483"/>
      <c r="D66" s="484"/>
      <c r="E66" s="484"/>
      <c r="F66" s="484"/>
      <c r="G66" s="485"/>
      <c r="H66" s="485"/>
      <c r="I66" s="485"/>
      <c r="J66" s="485"/>
      <c r="K66" s="485"/>
      <c r="L66" s="485"/>
      <c r="M66" s="332"/>
      <c r="N66" s="469"/>
    </row>
    <row r="67" spans="1:14" ht="151.19999999999999" customHeight="1" thickBot="1">
      <c r="A67" s="466"/>
      <c r="B67" s="478"/>
      <c r="C67" s="408" t="s">
        <v>154</v>
      </c>
      <c r="D67" s="805" t="s">
        <v>716</v>
      </c>
      <c r="E67" s="814"/>
      <c r="F67" s="814"/>
      <c r="G67" s="814"/>
      <c r="H67" s="814"/>
      <c r="I67" s="814"/>
      <c r="J67" s="814"/>
      <c r="K67" s="814"/>
      <c r="L67" s="815"/>
      <c r="M67" s="332"/>
      <c r="N67" s="469"/>
    </row>
    <row r="68" spans="1:14" ht="4.2" customHeight="1" thickBot="1">
      <c r="A68" s="466"/>
      <c r="B68" s="478"/>
      <c r="C68" s="483"/>
      <c r="D68" s="484"/>
      <c r="E68" s="484"/>
      <c r="F68" s="484"/>
      <c r="G68" s="485"/>
      <c r="H68" s="485"/>
      <c r="I68" s="485"/>
      <c r="J68" s="485"/>
      <c r="K68" s="485"/>
      <c r="L68" s="485"/>
      <c r="M68" s="332"/>
      <c r="N68" s="469"/>
    </row>
    <row r="69" spans="1:14" ht="124.95" customHeight="1" thickBot="1">
      <c r="A69" s="466"/>
      <c r="B69" s="478"/>
      <c r="C69" s="408" t="s">
        <v>748</v>
      </c>
      <c r="D69" s="805" t="s">
        <v>378</v>
      </c>
      <c r="E69" s="814"/>
      <c r="F69" s="814"/>
      <c r="G69" s="814"/>
      <c r="H69" s="814"/>
      <c r="I69" s="814"/>
      <c r="J69" s="814"/>
      <c r="K69" s="814"/>
      <c r="L69" s="815"/>
      <c r="M69" s="332"/>
      <c r="N69" s="469"/>
    </row>
    <row r="70" spans="1:14" ht="4.2" customHeight="1" thickBot="1">
      <c r="A70" s="466"/>
      <c r="B70" s="478"/>
      <c r="C70" s="487"/>
      <c r="D70" s="484"/>
      <c r="E70" s="484"/>
      <c r="F70" s="484"/>
      <c r="G70" s="488"/>
      <c r="H70" s="485"/>
      <c r="I70" s="485"/>
      <c r="J70" s="485"/>
      <c r="K70" s="485"/>
      <c r="L70" s="485"/>
      <c r="M70" s="332"/>
      <c r="N70" s="469"/>
    </row>
    <row r="71" spans="1:14" ht="59.4" customHeight="1" thickBot="1">
      <c r="A71" s="466"/>
      <c r="B71" s="478"/>
      <c r="C71" s="411" t="s">
        <v>392</v>
      </c>
      <c r="D71" s="805" t="s">
        <v>377</v>
      </c>
      <c r="E71" s="814"/>
      <c r="F71" s="814"/>
      <c r="G71" s="814"/>
      <c r="H71" s="814"/>
      <c r="I71" s="814"/>
      <c r="J71" s="814"/>
      <c r="K71" s="814"/>
      <c r="L71" s="815"/>
      <c r="M71" s="332"/>
      <c r="N71" s="469"/>
    </row>
    <row r="72" spans="1:14" ht="4.2" customHeight="1" thickBot="1">
      <c r="A72" s="473"/>
      <c r="B72" s="481"/>
      <c r="C72" s="486"/>
      <c r="D72" s="485"/>
      <c r="E72" s="485"/>
      <c r="F72" s="485"/>
      <c r="G72" s="484"/>
      <c r="H72" s="484"/>
      <c r="I72" s="484"/>
      <c r="J72" s="484"/>
      <c r="K72" s="484"/>
      <c r="L72" s="484"/>
      <c r="M72" s="332"/>
      <c r="N72" s="469"/>
    </row>
    <row r="73" spans="1:14" ht="112.95" customHeight="1" thickBot="1">
      <c r="A73" s="466"/>
      <c r="B73" s="478"/>
      <c r="C73" s="411" t="s">
        <v>749</v>
      </c>
      <c r="D73" s="805" t="s">
        <v>717</v>
      </c>
      <c r="E73" s="814"/>
      <c r="F73" s="814"/>
      <c r="G73" s="814"/>
      <c r="H73" s="814"/>
      <c r="I73" s="814"/>
      <c r="J73" s="814"/>
      <c r="K73" s="814"/>
      <c r="L73" s="815"/>
      <c r="M73" s="332"/>
      <c r="N73" s="469"/>
    </row>
    <row r="74" spans="1:14" ht="4.2" customHeight="1" thickBot="1">
      <c r="A74" s="466"/>
      <c r="B74" s="478"/>
      <c r="C74" s="483"/>
      <c r="D74" s="484"/>
      <c r="E74" s="484"/>
      <c r="F74" s="484"/>
      <c r="G74" s="485"/>
      <c r="H74" s="485"/>
      <c r="I74" s="485"/>
      <c r="J74" s="485"/>
      <c r="K74" s="485"/>
      <c r="L74" s="485"/>
      <c r="M74" s="332"/>
      <c r="N74" s="469"/>
    </row>
    <row r="75" spans="1:14" ht="74.25" customHeight="1" thickBot="1">
      <c r="A75" s="466"/>
      <c r="B75" s="478"/>
      <c r="C75" s="410" t="s">
        <v>393</v>
      </c>
      <c r="D75" s="811" t="s">
        <v>718</v>
      </c>
      <c r="E75" s="812"/>
      <c r="F75" s="812"/>
      <c r="G75" s="812"/>
      <c r="H75" s="812"/>
      <c r="I75" s="812"/>
      <c r="J75" s="812"/>
      <c r="K75" s="812"/>
      <c r="L75" s="813"/>
      <c r="M75" s="332"/>
      <c r="N75" s="469"/>
    </row>
    <row r="76" spans="1:14" ht="6.75" customHeight="1" thickBot="1">
      <c r="A76" s="466"/>
      <c r="B76" s="474"/>
      <c r="C76" s="475"/>
      <c r="D76" s="476"/>
      <c r="E76" s="476"/>
      <c r="F76" s="476"/>
      <c r="G76" s="476"/>
      <c r="H76" s="476"/>
      <c r="I76" s="476"/>
      <c r="J76" s="476"/>
      <c r="K76" s="476"/>
      <c r="L76" s="476"/>
      <c r="M76" s="477"/>
      <c r="N76" s="469"/>
    </row>
    <row r="77" spans="1:14" ht="12.75" hidden="1" customHeight="1" thickTop="1">
      <c r="N77" s="469"/>
    </row>
    <row r="78" spans="1:14" hidden="1">
      <c r="N78" s="469"/>
    </row>
    <row r="79" spans="1:14" hidden="1">
      <c r="N79" s="468"/>
    </row>
    <row r="80" spans="1:14" hidden="1">
      <c r="N80" s="468"/>
    </row>
    <row r="81" spans="14:14" hidden="1">
      <c r="N81" s="468"/>
    </row>
    <row r="82" spans="14:14" hidden="1">
      <c r="N82" s="468"/>
    </row>
    <row r="83" spans="14:14" hidden="1">
      <c r="N83" s="468"/>
    </row>
    <row r="84" spans="14:14" hidden="1">
      <c r="N84" s="468"/>
    </row>
    <row r="85" spans="14:14" hidden="1">
      <c r="N85" s="468"/>
    </row>
    <row r="86" spans="14:14" hidden="1">
      <c r="N86" s="468"/>
    </row>
    <row r="87" spans="14:14" hidden="1">
      <c r="N87" s="468"/>
    </row>
    <row r="88" spans="14:14" hidden="1">
      <c r="N88" s="468"/>
    </row>
    <row r="89" spans="14:14" hidden="1">
      <c r="N89" s="468"/>
    </row>
    <row r="90" spans="14:14" hidden="1">
      <c r="N90" s="468"/>
    </row>
    <row r="91" spans="14:14" hidden="1">
      <c r="N91" s="468"/>
    </row>
    <row r="92" spans="14:14" hidden="1">
      <c r="N92" s="468"/>
    </row>
    <row r="93" spans="14:14" hidden="1">
      <c r="N93" s="468"/>
    </row>
    <row r="94" spans="14:14" hidden="1">
      <c r="N94" s="468"/>
    </row>
    <row r="95" spans="14:14" hidden="1">
      <c r="N95" s="468"/>
    </row>
    <row r="96" spans="14:14" hidden="1">
      <c r="N96" s="468"/>
    </row>
    <row r="97" spans="14:14" hidden="1">
      <c r="N97" s="468"/>
    </row>
    <row r="98" spans="14:14" hidden="1">
      <c r="N98" s="468"/>
    </row>
    <row r="99" spans="14:14" hidden="1">
      <c r="N99" s="468"/>
    </row>
    <row r="100" spans="14:14" hidden="1">
      <c r="N100" s="468"/>
    </row>
    <row r="101" spans="14:14" hidden="1">
      <c r="N101" s="468"/>
    </row>
    <row r="102" spans="14:14" hidden="1">
      <c r="N102" s="468"/>
    </row>
    <row r="103" spans="14:14" hidden="1">
      <c r="N103" s="468"/>
    </row>
    <row r="104" spans="14:14" hidden="1">
      <c r="N104" s="468"/>
    </row>
    <row r="105" spans="14:14" hidden="1">
      <c r="N105" s="468"/>
    </row>
    <row r="106" spans="14:14" hidden="1">
      <c r="N106" s="468"/>
    </row>
    <row r="107" spans="14:14" hidden="1">
      <c r="N107" s="468"/>
    </row>
    <row r="108" spans="14:14" hidden="1">
      <c r="N108" s="468"/>
    </row>
    <row r="109" spans="14:14" hidden="1">
      <c r="N109" s="468"/>
    </row>
    <row r="110" spans="14:14" hidden="1">
      <c r="N110" s="468"/>
    </row>
    <row r="111" spans="14:14" hidden="1">
      <c r="N111" s="468"/>
    </row>
    <row r="112" spans="14:14" hidden="1">
      <c r="N112" s="468"/>
    </row>
    <row r="113" spans="14:14" hidden="1">
      <c r="N113" s="468"/>
    </row>
    <row r="114" spans="14:14" hidden="1">
      <c r="N114" s="468"/>
    </row>
    <row r="115" spans="14:14" hidden="1">
      <c r="N115" s="468"/>
    </row>
    <row r="116" spans="14:14" hidden="1">
      <c r="N116" s="468"/>
    </row>
    <row r="117" spans="14:14" hidden="1">
      <c r="N117" s="468"/>
    </row>
    <row r="118" spans="14:14" hidden="1">
      <c r="N118" s="468"/>
    </row>
    <row r="119" spans="14:14" hidden="1">
      <c r="N119" s="468"/>
    </row>
    <row r="120" spans="14:14" hidden="1">
      <c r="N120" s="468"/>
    </row>
    <row r="121" spans="14:14" hidden="1">
      <c r="N121" s="468"/>
    </row>
    <row r="122" spans="14:14" hidden="1">
      <c r="N122" s="468"/>
    </row>
    <row r="123" spans="14:14" hidden="1">
      <c r="N123" s="468"/>
    </row>
    <row r="124" spans="14:14" hidden="1">
      <c r="N124" s="468"/>
    </row>
    <row r="125" spans="14:14" hidden="1">
      <c r="N125" s="468"/>
    </row>
    <row r="126" spans="14:14" hidden="1">
      <c r="N126" s="468"/>
    </row>
    <row r="127" spans="14:14" hidden="1">
      <c r="N127" s="468"/>
    </row>
    <row r="128" spans="14:14" hidden="1">
      <c r="N128" s="468"/>
    </row>
    <row r="129" spans="14:14" hidden="1">
      <c r="N129" s="468"/>
    </row>
    <row r="130" spans="14:14" hidden="1">
      <c r="N130" s="468"/>
    </row>
    <row r="131" spans="14:14" hidden="1">
      <c r="N131" s="468"/>
    </row>
    <row r="132" spans="14:14" hidden="1">
      <c r="N132" s="468"/>
    </row>
    <row r="133" spans="14:14" hidden="1">
      <c r="N133" s="468"/>
    </row>
    <row r="134" spans="14:14" hidden="1">
      <c r="N134" s="468"/>
    </row>
    <row r="135" spans="14:14" hidden="1">
      <c r="N135" s="468"/>
    </row>
    <row r="136" spans="14:14" hidden="1">
      <c r="N136" s="468"/>
    </row>
    <row r="137" spans="14:14" hidden="1">
      <c r="N137" s="468"/>
    </row>
    <row r="138" spans="14:14" hidden="1">
      <c r="N138" s="468"/>
    </row>
    <row r="139" spans="14:14" hidden="1">
      <c r="N139" s="468"/>
    </row>
    <row r="140" spans="14:14" hidden="1">
      <c r="N140" s="468"/>
    </row>
    <row r="141" spans="14:14" hidden="1">
      <c r="N141" s="468"/>
    </row>
    <row r="142" spans="14:14" hidden="1">
      <c r="N142" s="468"/>
    </row>
    <row r="143" spans="14:14" hidden="1">
      <c r="N143" s="468"/>
    </row>
    <row r="144" spans="14:14" hidden="1">
      <c r="N144" s="468"/>
    </row>
    <row r="145" spans="14:14" hidden="1">
      <c r="N145" s="468"/>
    </row>
    <row r="146" spans="14:14" hidden="1">
      <c r="N146" s="468"/>
    </row>
    <row r="147" spans="14:14" hidden="1">
      <c r="N147" s="468"/>
    </row>
    <row r="148" spans="14:14" hidden="1">
      <c r="N148" s="468"/>
    </row>
    <row r="149" spans="14:14" hidden="1">
      <c r="N149" s="468"/>
    </row>
    <row r="150" spans="14:14" hidden="1">
      <c r="N150" s="468"/>
    </row>
    <row r="151" spans="14:14" hidden="1">
      <c r="N151" s="468"/>
    </row>
    <row r="152" spans="14:14" hidden="1">
      <c r="N152" s="468"/>
    </row>
    <row r="153" spans="14:14" hidden="1">
      <c r="N153" s="468"/>
    </row>
    <row r="154" spans="14:14" hidden="1">
      <c r="N154" s="468"/>
    </row>
    <row r="155" spans="14:14" hidden="1">
      <c r="N155" s="468"/>
    </row>
    <row r="156" spans="14:14" hidden="1">
      <c r="N156" s="468"/>
    </row>
    <row r="157" spans="14:14" hidden="1">
      <c r="N157" s="468"/>
    </row>
    <row r="158" spans="14:14" hidden="1">
      <c r="N158" s="468"/>
    </row>
    <row r="159" spans="14:14" hidden="1">
      <c r="N159" s="468"/>
    </row>
    <row r="160" spans="14:14" hidden="1">
      <c r="N160" s="468"/>
    </row>
    <row r="161" spans="1:14" hidden="1">
      <c r="N161" s="468"/>
    </row>
    <row r="162" spans="1:14" hidden="1">
      <c r="N162" s="468"/>
    </row>
    <row r="163" spans="1:14" hidden="1">
      <c r="N163" s="468"/>
    </row>
    <row r="164" spans="1:14" hidden="1">
      <c r="N164" s="468"/>
    </row>
    <row r="165" spans="1:14" hidden="1">
      <c r="N165" s="468"/>
    </row>
    <row r="166" spans="1:14" hidden="1">
      <c r="N166" s="468"/>
    </row>
    <row r="167" spans="1:14" hidden="1">
      <c r="N167" s="468"/>
    </row>
    <row r="168" spans="1:14" hidden="1">
      <c r="N168" s="468"/>
    </row>
    <row r="169" spans="1:14" hidden="1">
      <c r="N169" s="468"/>
    </row>
    <row r="170" spans="1:14" hidden="1">
      <c r="N170" s="468"/>
    </row>
    <row r="171" spans="1:14" ht="29.4" hidden="1" customHeight="1" thickTop="1">
      <c r="N171" s="468"/>
    </row>
    <row r="172" spans="1:14" ht="7.95" customHeight="1" thickTop="1">
      <c r="A172" s="466"/>
      <c r="B172" s="466"/>
      <c r="C172" s="467"/>
      <c r="D172" s="468"/>
      <c r="E172" s="468"/>
      <c r="F172" s="468"/>
      <c r="G172" s="468"/>
      <c r="H172" s="468"/>
      <c r="I172" s="468"/>
      <c r="J172" s="468"/>
      <c r="K172" s="468"/>
      <c r="L172" s="468"/>
      <c r="M172" s="468"/>
      <c r="N172" s="468"/>
    </row>
    <row r="173" spans="1:14" hidden="1"/>
    <row r="174" spans="1:14" hidden="1"/>
  </sheetData>
  <sheetProtection password="8B16" sheet="1" objects="1" scenarios="1"/>
  <mergeCells count="41">
    <mergeCell ref="D75:L75"/>
    <mergeCell ref="E55:F55"/>
    <mergeCell ref="D73:L73"/>
    <mergeCell ref="D69:L69"/>
    <mergeCell ref="D59:L59"/>
    <mergeCell ref="D61:L61"/>
    <mergeCell ref="D63:L63"/>
    <mergeCell ref="D71:L71"/>
    <mergeCell ref="D65:L65"/>
    <mergeCell ref="D67:L67"/>
    <mergeCell ref="D51:L51"/>
    <mergeCell ref="D53:L53"/>
    <mergeCell ref="E54:F54"/>
    <mergeCell ref="C53:C57"/>
    <mergeCell ref="D47:L47"/>
    <mergeCell ref="G56:J56"/>
    <mergeCell ref="D49:L49"/>
    <mergeCell ref="I54:J54"/>
    <mergeCell ref="D42:L42"/>
    <mergeCell ref="D32:L32"/>
    <mergeCell ref="D40:L40"/>
    <mergeCell ref="D28:L28"/>
    <mergeCell ref="C44:C45"/>
    <mergeCell ref="D44:L45"/>
    <mergeCell ref="D14:L14"/>
    <mergeCell ref="D38:L38"/>
    <mergeCell ref="D36:L36"/>
    <mergeCell ref="D26:L26"/>
    <mergeCell ref="D34:L34"/>
    <mergeCell ref="D30:L30"/>
    <mergeCell ref="D20:L20"/>
    <mergeCell ref="D22:L22"/>
    <mergeCell ref="D24:L24"/>
    <mergeCell ref="D16:L16"/>
    <mergeCell ref="D18:L18"/>
    <mergeCell ref="B2:M3"/>
    <mergeCell ref="D4:L4"/>
    <mergeCell ref="D8:L8"/>
    <mergeCell ref="D10:L10"/>
    <mergeCell ref="D12:L12"/>
    <mergeCell ref="D6:L6"/>
  </mergeCells>
  <phoneticPr fontId="0" type="noConversion"/>
  <dataValidations count="1">
    <dataValidation type="list" allowBlank="1" showInputMessage="1" showErrorMessage="1" sqref="G55 J55" xr:uid="{00000000-0002-0000-0900-000000000000}">
      <formula1>"Million Gallons (US),Megalitres (thousand cubic metres),Acre-feet"</formula1>
    </dataValidation>
  </dataValidations>
  <pageMargins left="0.25" right="0.25" top="0.75" bottom="0.75" header="0.3" footer="0.3"/>
  <pageSetup scale="69" orientation="portrait" horizontalDpi="4294967293" verticalDpi="4294967293" r:id="rId1"/>
  <headerFooter alignWithMargins="0">
    <oddFooter>&amp;CAWWA Free Water Audit Software v5.0&amp;R&amp;A     &amp;P</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3" tint="0.79998168889431442"/>
  </sheetPr>
  <dimension ref="A1:IU98"/>
  <sheetViews>
    <sheetView showGridLines="0" showRowColHeaders="0" zoomScaleNormal="100" workbookViewId="0">
      <pane ySplit="6" topLeftCell="A10" activePane="bottomLeft" state="frozen"/>
      <selection pane="bottomLeft" activeCell="A7" sqref="A7"/>
    </sheetView>
  </sheetViews>
  <sheetFormatPr defaultColWidth="0" defaultRowHeight="0" customHeight="1" zeroHeight="1"/>
  <cols>
    <col min="1" max="1" width="1.44140625" style="4" customWidth="1"/>
    <col min="2" max="2" width="1.33203125" style="4" customWidth="1"/>
    <col min="3" max="3" width="19.109375" style="1" customWidth="1"/>
    <col min="4" max="18" width="8.33203125" style="1" customWidth="1"/>
    <col min="19" max="19" width="1.109375" style="62" customWidth="1"/>
    <col min="20" max="20" width="1.44140625" style="20" customWidth="1"/>
    <col min="21" max="21" width="2.109375" style="55" hidden="1" customWidth="1"/>
    <col min="22" max="22" width="3" style="55" hidden="1" customWidth="1"/>
    <col min="23" max="255" width="0" style="1" hidden="1" customWidth="1"/>
    <col min="256" max="16384" width="3.109375" style="1" hidden="1"/>
  </cols>
  <sheetData>
    <row r="1" spans="1:22" s="3" customFormat="1" ht="8.25" customHeight="1" thickBot="1">
      <c r="A1" s="492"/>
      <c r="B1" s="492"/>
      <c r="C1" s="493"/>
      <c r="D1" s="493"/>
      <c r="E1" s="493"/>
      <c r="F1" s="493"/>
      <c r="G1" s="493"/>
      <c r="H1" s="493"/>
      <c r="I1" s="493"/>
      <c r="J1" s="493"/>
      <c r="K1" s="493"/>
      <c r="L1" s="493"/>
      <c r="M1" s="493"/>
      <c r="N1" s="493"/>
      <c r="O1" s="493"/>
      <c r="P1" s="493"/>
      <c r="Q1" s="493"/>
      <c r="R1" s="493"/>
      <c r="S1" s="494"/>
      <c r="T1" s="493"/>
      <c r="U1" s="55"/>
      <c r="V1" s="55"/>
    </row>
    <row r="2" spans="1:22" ht="42" customHeight="1" thickTop="1">
      <c r="A2" s="492"/>
      <c r="B2" s="888" t="s">
        <v>341</v>
      </c>
      <c r="C2" s="889"/>
      <c r="D2" s="889"/>
      <c r="E2" s="889"/>
      <c r="F2" s="889"/>
      <c r="G2" s="889"/>
      <c r="H2" s="889"/>
      <c r="I2" s="889"/>
      <c r="J2" s="889"/>
      <c r="K2" s="889"/>
      <c r="L2" s="889"/>
      <c r="M2" s="889"/>
      <c r="N2" s="889"/>
      <c r="O2" s="889"/>
      <c r="P2" s="889"/>
      <c r="Q2" s="889"/>
      <c r="R2" s="889"/>
      <c r="S2" s="890"/>
      <c r="T2" s="495"/>
      <c r="U2" s="61"/>
    </row>
    <row r="3" spans="1:22" ht="5.4" customHeight="1">
      <c r="A3" s="492"/>
      <c r="B3" s="306"/>
      <c r="C3" s="307"/>
      <c r="D3" s="307"/>
      <c r="E3" s="307"/>
      <c r="F3" s="307"/>
      <c r="G3" s="307"/>
      <c r="H3" s="307"/>
      <c r="I3" s="307"/>
      <c r="J3" s="307"/>
      <c r="K3" s="307"/>
      <c r="L3" s="307"/>
      <c r="M3" s="307"/>
      <c r="N3" s="307"/>
      <c r="O3" s="307"/>
      <c r="P3" s="307"/>
      <c r="Q3" s="307"/>
      <c r="R3" s="307"/>
      <c r="S3" s="308"/>
      <c r="T3" s="496"/>
      <c r="U3" s="60"/>
    </row>
    <row r="4" spans="1:22" ht="16.95" customHeight="1">
      <c r="A4" s="492"/>
      <c r="B4" s="306"/>
      <c r="C4" s="307"/>
      <c r="D4" s="307"/>
      <c r="E4" s="77"/>
      <c r="F4" s="224" t="s">
        <v>165</v>
      </c>
      <c r="G4" s="842" t="str">
        <f>IF(ISBLANK(Instructions!D18),"&lt;&lt; Please enter system details and contact information on the Instructions tab &gt;&gt;",Instructions!D18&amp;IF(ISBLANK(Instructions!D36),"","  ("&amp;Instructions!D36&amp;")"))</f>
        <v>XYZ Water Company  (ND123456789)</v>
      </c>
      <c r="H4" s="843"/>
      <c r="I4" s="843"/>
      <c r="J4" s="843"/>
      <c r="K4" s="843"/>
      <c r="L4" s="843"/>
      <c r="M4" s="843"/>
      <c r="N4" s="843"/>
      <c r="O4" s="844"/>
      <c r="P4" s="307"/>
      <c r="Q4" s="307"/>
      <c r="R4" s="307"/>
      <c r="S4" s="308"/>
      <c r="T4" s="496"/>
      <c r="U4" s="60"/>
    </row>
    <row r="5" spans="1:22" ht="16.95" customHeight="1">
      <c r="A5" s="492"/>
      <c r="B5" s="306"/>
      <c r="C5" s="307"/>
      <c r="D5" s="307"/>
      <c r="E5" s="76"/>
      <c r="F5" s="224" t="s">
        <v>166</v>
      </c>
      <c r="G5" s="620">
        <f>IF(ISBLANK(Instructions!D26),"",Instructions!D26)</f>
        <v>2017</v>
      </c>
      <c r="H5" s="845" t="str">
        <f>IF(ISBLANK(Instructions!D26),"",IF(Instructions!E26="Calendar Year","1/"&amp;Instructions!D26&amp;" - "&amp;"12/"&amp;Instructions!D26,IF(OR(ISBLANK(Instructions!D28),ISBLANK(Instructions!D30)),"",MONTH(Instructions!D28)&amp;"/"&amp;YEAR(Instructions!D28)&amp;" - "&amp;MONTH(Instructions!D30)&amp;"/"&amp;YEAR(Instructions!D30))))</f>
        <v>1/2017 - 12/2017</v>
      </c>
      <c r="I5" s="846"/>
      <c r="J5" s="307"/>
      <c r="K5" s="307"/>
      <c r="L5" s="307"/>
      <c r="M5" s="307"/>
      <c r="N5" s="307"/>
      <c r="O5" s="307"/>
      <c r="P5" s="307"/>
      <c r="Q5" s="307"/>
      <c r="R5" s="307"/>
      <c r="S5" s="308"/>
      <c r="T5" s="496"/>
      <c r="U5" s="60"/>
    </row>
    <row r="6" spans="1:22" ht="16.95" customHeight="1">
      <c r="A6" s="492"/>
      <c r="B6" s="306"/>
      <c r="C6" s="307"/>
      <c r="D6" s="307"/>
      <c r="E6" s="76"/>
      <c r="F6" s="224" t="s">
        <v>679</v>
      </c>
      <c r="G6" s="618">
        <f>IF(ISBLANK(Instructions!$D$34),"N/A*",IF(GradingAssessment!M24&gt;0,"N/A*",ROUND(GradingAssessment!G24,0)))</f>
        <v>74</v>
      </c>
      <c r="H6" s="616" t="str">
        <f>IF(G6="N/A*","* Confirm Units and Data Grading are Complete","")</f>
        <v/>
      </c>
      <c r="I6" s="619"/>
      <c r="J6" s="307"/>
      <c r="K6" s="307"/>
      <c r="L6" s="307"/>
      <c r="M6" s="307"/>
      <c r="N6" s="307"/>
      <c r="O6" s="307"/>
      <c r="P6" s="307"/>
      <c r="Q6" s="307"/>
      <c r="R6" s="307"/>
      <c r="S6" s="308"/>
      <c r="T6" s="496"/>
      <c r="U6" s="60"/>
    </row>
    <row r="7" spans="1:22" ht="6" customHeight="1" thickBot="1">
      <c r="A7" s="492"/>
      <c r="B7" s="306"/>
      <c r="C7" s="307"/>
      <c r="D7" s="307"/>
      <c r="E7" s="307"/>
      <c r="F7" s="307"/>
      <c r="G7" s="307"/>
      <c r="H7" s="307"/>
      <c r="I7" s="307"/>
      <c r="J7" s="307"/>
      <c r="K7" s="307"/>
      <c r="L7" s="307"/>
      <c r="M7" s="307"/>
      <c r="N7" s="307"/>
      <c r="O7" s="307"/>
      <c r="P7" s="307"/>
      <c r="Q7" s="307"/>
      <c r="R7" s="307"/>
      <c r="S7" s="308"/>
      <c r="T7" s="496"/>
      <c r="U7" s="60"/>
    </row>
    <row r="8" spans="1:22" ht="25.95" customHeight="1" thickBot="1">
      <c r="A8" s="492"/>
      <c r="B8" s="306"/>
      <c r="C8" s="847" t="s">
        <v>147</v>
      </c>
      <c r="D8" s="848"/>
      <c r="E8" s="848"/>
      <c r="F8" s="848"/>
      <c r="G8" s="848"/>
      <c r="H8" s="848"/>
      <c r="I8" s="848"/>
      <c r="J8" s="848"/>
      <c r="K8" s="848"/>
      <c r="L8" s="848"/>
      <c r="M8" s="848"/>
      <c r="N8" s="848"/>
      <c r="O8" s="848"/>
      <c r="P8" s="848"/>
      <c r="Q8" s="848"/>
      <c r="R8" s="849"/>
      <c r="S8" s="308"/>
      <c r="T8" s="496"/>
      <c r="U8" s="60"/>
    </row>
    <row r="9" spans="1:22" ht="18.75" customHeight="1" thickTop="1">
      <c r="A9" s="492"/>
      <c r="B9" s="306"/>
      <c r="C9" s="56"/>
      <c r="D9" s="856" t="s">
        <v>115</v>
      </c>
      <c r="E9" s="857"/>
      <c r="F9" s="857"/>
      <c r="G9" s="857"/>
      <c r="H9" s="857"/>
      <c r="I9" s="857"/>
      <c r="J9" s="857"/>
      <c r="K9" s="857"/>
      <c r="L9" s="857"/>
      <c r="M9" s="857"/>
      <c r="N9" s="857"/>
      <c r="O9" s="857"/>
      <c r="P9" s="857"/>
      <c r="Q9" s="857"/>
      <c r="R9" s="858"/>
      <c r="S9" s="308"/>
      <c r="T9" s="496"/>
      <c r="U9" s="60"/>
    </row>
    <row r="10" spans="1:22" ht="34.5" customHeight="1" thickBot="1">
      <c r="A10" s="492"/>
      <c r="B10" s="306"/>
      <c r="C10" s="312" t="s">
        <v>148</v>
      </c>
      <c r="D10" s="859" t="s">
        <v>151</v>
      </c>
      <c r="E10" s="854"/>
      <c r="F10" s="855"/>
      <c r="G10" s="853" t="s">
        <v>274</v>
      </c>
      <c r="H10" s="854"/>
      <c r="I10" s="855"/>
      <c r="J10" s="853" t="s">
        <v>275</v>
      </c>
      <c r="K10" s="854"/>
      <c r="L10" s="855"/>
      <c r="M10" s="853" t="s">
        <v>276</v>
      </c>
      <c r="N10" s="854"/>
      <c r="O10" s="855"/>
      <c r="P10" s="853" t="s">
        <v>277</v>
      </c>
      <c r="Q10" s="854"/>
      <c r="R10" s="875"/>
      <c r="S10" s="308"/>
      <c r="T10" s="496"/>
      <c r="U10" s="60"/>
    </row>
    <row r="11" spans="1:22" ht="66.75" customHeight="1" thickTop="1">
      <c r="A11" s="492"/>
      <c r="B11" s="306"/>
      <c r="C11" s="57" t="s">
        <v>181</v>
      </c>
      <c r="D11" s="877" t="s">
        <v>182</v>
      </c>
      <c r="E11" s="851"/>
      <c r="F11" s="876"/>
      <c r="G11" s="850" t="s">
        <v>183</v>
      </c>
      <c r="H11" s="851"/>
      <c r="I11" s="876"/>
      <c r="J11" s="850" t="s">
        <v>184</v>
      </c>
      <c r="K11" s="851"/>
      <c r="L11" s="852"/>
      <c r="M11" s="850" t="s">
        <v>33</v>
      </c>
      <c r="N11" s="851"/>
      <c r="O11" s="852"/>
      <c r="P11" s="850" t="s">
        <v>34</v>
      </c>
      <c r="Q11" s="851"/>
      <c r="R11" s="852"/>
      <c r="S11" s="308"/>
      <c r="T11" s="496"/>
      <c r="U11" s="60"/>
    </row>
    <row r="12" spans="1:22" ht="78" customHeight="1">
      <c r="A12" s="492"/>
      <c r="B12" s="306"/>
      <c r="C12" s="58" t="s">
        <v>35</v>
      </c>
      <c r="D12" s="873" t="s">
        <v>36</v>
      </c>
      <c r="E12" s="861"/>
      <c r="F12" s="874"/>
      <c r="G12" s="860" t="s">
        <v>37</v>
      </c>
      <c r="H12" s="861"/>
      <c r="I12" s="874"/>
      <c r="J12" s="860" t="s">
        <v>38</v>
      </c>
      <c r="K12" s="861"/>
      <c r="L12" s="862"/>
      <c r="M12" s="860" t="s">
        <v>39</v>
      </c>
      <c r="N12" s="861"/>
      <c r="O12" s="862"/>
      <c r="P12" s="860" t="s">
        <v>278</v>
      </c>
      <c r="Q12" s="861"/>
      <c r="R12" s="862"/>
      <c r="S12" s="308"/>
      <c r="T12" s="496"/>
      <c r="U12" s="60"/>
    </row>
    <row r="13" spans="1:22" ht="105.75" customHeight="1">
      <c r="A13" s="492"/>
      <c r="B13" s="306"/>
      <c r="C13" s="58" t="s">
        <v>279</v>
      </c>
      <c r="D13" s="863"/>
      <c r="E13" s="864"/>
      <c r="F13" s="865"/>
      <c r="G13" s="878" t="s">
        <v>280</v>
      </c>
      <c r="H13" s="879"/>
      <c r="I13" s="880"/>
      <c r="J13" s="860" t="s">
        <v>176</v>
      </c>
      <c r="K13" s="861"/>
      <c r="L13" s="862"/>
      <c r="M13" s="860" t="s">
        <v>177</v>
      </c>
      <c r="N13" s="861"/>
      <c r="O13" s="862"/>
      <c r="P13" s="860" t="s">
        <v>86</v>
      </c>
      <c r="Q13" s="861"/>
      <c r="R13" s="862"/>
      <c r="S13" s="308"/>
      <c r="T13" s="496"/>
      <c r="U13" s="60"/>
    </row>
    <row r="14" spans="1:22" ht="68.25" customHeight="1">
      <c r="A14" s="492"/>
      <c r="B14" s="306"/>
      <c r="C14" s="58" t="s">
        <v>87</v>
      </c>
      <c r="D14" s="863"/>
      <c r="E14" s="864"/>
      <c r="F14" s="865"/>
      <c r="G14" s="866"/>
      <c r="H14" s="864"/>
      <c r="I14" s="865"/>
      <c r="J14" s="860" t="s">
        <v>88</v>
      </c>
      <c r="K14" s="861"/>
      <c r="L14" s="862"/>
      <c r="M14" s="860" t="s">
        <v>89</v>
      </c>
      <c r="N14" s="861"/>
      <c r="O14" s="862"/>
      <c r="P14" s="860" t="s">
        <v>90</v>
      </c>
      <c r="Q14" s="861"/>
      <c r="R14" s="862"/>
      <c r="S14" s="308"/>
      <c r="T14" s="496"/>
      <c r="U14" s="60"/>
    </row>
    <row r="15" spans="1:22" ht="84" customHeight="1" thickBot="1">
      <c r="A15" s="492"/>
      <c r="B15" s="306"/>
      <c r="C15" s="59" t="s">
        <v>91</v>
      </c>
      <c r="D15" s="881"/>
      <c r="E15" s="882"/>
      <c r="F15" s="883"/>
      <c r="G15" s="884"/>
      <c r="H15" s="882"/>
      <c r="I15" s="883"/>
      <c r="J15" s="885" t="s">
        <v>112</v>
      </c>
      <c r="K15" s="886"/>
      <c r="L15" s="887"/>
      <c r="M15" s="885" t="s">
        <v>113</v>
      </c>
      <c r="N15" s="886"/>
      <c r="O15" s="887"/>
      <c r="P15" s="885" t="s">
        <v>114</v>
      </c>
      <c r="Q15" s="886"/>
      <c r="R15" s="887"/>
      <c r="S15" s="308"/>
      <c r="T15" s="496"/>
      <c r="U15" s="60"/>
    </row>
    <row r="16" spans="1:22" ht="21" customHeight="1" thickTop="1" thickBot="1">
      <c r="A16" s="492"/>
      <c r="B16" s="306"/>
      <c r="C16" s="870" t="s">
        <v>273</v>
      </c>
      <c r="D16" s="871"/>
      <c r="E16" s="871"/>
      <c r="F16" s="871"/>
      <c r="G16" s="871"/>
      <c r="H16" s="871"/>
      <c r="I16" s="871"/>
      <c r="J16" s="871"/>
      <c r="K16" s="871"/>
      <c r="L16" s="871"/>
      <c r="M16" s="871"/>
      <c r="N16" s="871"/>
      <c r="O16" s="871"/>
      <c r="P16" s="871"/>
      <c r="Q16" s="871"/>
      <c r="R16" s="872"/>
      <c r="S16" s="308"/>
      <c r="T16" s="496"/>
      <c r="U16" s="60"/>
    </row>
    <row r="17" spans="1:22" ht="19.5" customHeight="1" thickBot="1">
      <c r="A17" s="492"/>
      <c r="B17" s="306"/>
      <c r="C17" s="319"/>
      <c r="D17" s="319"/>
      <c r="E17" s="319"/>
      <c r="F17" s="319"/>
      <c r="G17" s="319"/>
      <c r="H17" s="319"/>
      <c r="I17" s="319"/>
      <c r="J17" s="319"/>
      <c r="K17" s="319"/>
      <c r="L17" s="319"/>
      <c r="M17" s="319"/>
      <c r="N17" s="319"/>
      <c r="O17" s="319"/>
      <c r="P17" s="319"/>
      <c r="Q17" s="319"/>
      <c r="R17" s="319"/>
      <c r="S17" s="308"/>
      <c r="T17" s="496"/>
      <c r="U17" s="60"/>
    </row>
    <row r="18" spans="1:22" ht="15.75" hidden="1" customHeight="1">
      <c r="A18" s="493"/>
      <c r="B18" s="309"/>
      <c r="C18" s="65"/>
      <c r="D18" s="66"/>
      <c r="E18" s="67">
        <v>0</v>
      </c>
      <c r="F18" s="67"/>
      <c r="G18" s="67"/>
      <c r="H18" s="67">
        <v>26</v>
      </c>
      <c r="I18" s="67"/>
      <c r="J18" s="67"/>
      <c r="K18" s="67">
        <v>51</v>
      </c>
      <c r="L18" s="67"/>
      <c r="M18" s="67"/>
      <c r="N18" s="67">
        <v>71</v>
      </c>
      <c r="O18" s="67"/>
      <c r="P18" s="67"/>
      <c r="Q18" s="67">
        <v>91</v>
      </c>
      <c r="R18" s="67"/>
      <c r="S18" s="313"/>
      <c r="T18" s="496"/>
      <c r="U18" s="2"/>
      <c r="V18" s="66"/>
    </row>
    <row r="19" spans="1:22" ht="15.75" hidden="1" customHeight="1">
      <c r="A19" s="493"/>
      <c r="B19" s="309"/>
      <c r="C19" s="65"/>
      <c r="D19" s="66"/>
      <c r="E19" s="67">
        <v>25</v>
      </c>
      <c r="F19" s="67"/>
      <c r="G19" s="67"/>
      <c r="H19" s="67">
        <v>51</v>
      </c>
      <c r="I19" s="67"/>
      <c r="J19" s="67"/>
      <c r="K19" s="67">
        <v>71</v>
      </c>
      <c r="L19" s="67"/>
      <c r="M19" s="67"/>
      <c r="N19" s="67">
        <v>91</v>
      </c>
      <c r="O19" s="67"/>
      <c r="P19" s="67"/>
      <c r="Q19" s="67">
        <v>100</v>
      </c>
      <c r="R19" s="67"/>
      <c r="S19" s="313"/>
      <c r="T19" s="496"/>
      <c r="U19" s="2"/>
      <c r="V19" s="66"/>
    </row>
    <row r="20" spans="1:22" ht="11.25" hidden="1" customHeight="1" thickBot="1">
      <c r="A20" s="492"/>
      <c r="B20" s="306"/>
      <c r="C20" s="60"/>
      <c r="D20" s="60"/>
      <c r="E20" s="60">
        <f>IF(AND(GradingAssessment!$G$24&gt;=E18,GradingAssessment!$G$24&lt;='Loss Control Planning'!E19),1,0)</f>
        <v>0</v>
      </c>
      <c r="F20" s="60"/>
      <c r="G20" s="60"/>
      <c r="H20" s="60">
        <f>IF(AND(GradingAssessment!$G$24&gt;=H18,GradingAssessment!$G$24&lt;'Loss Control Planning'!H19),1,0)</f>
        <v>0</v>
      </c>
      <c r="I20" s="60"/>
      <c r="J20" s="60"/>
      <c r="K20" s="60">
        <f>IF(AND(GradingAssessment!$G$24&gt;=K18,GradingAssessment!$G$24&lt;'Loss Control Planning'!K19),1,0)</f>
        <v>0</v>
      </c>
      <c r="L20" s="60"/>
      <c r="M20" s="60"/>
      <c r="N20" s="60">
        <f>IF(AND(GradingAssessment!$G$24&gt;=N18,GradingAssessment!$G$24&lt;'Loss Control Planning'!N19),1,0)</f>
        <v>1</v>
      </c>
      <c r="O20" s="60"/>
      <c r="P20" s="60"/>
      <c r="Q20" s="60">
        <f>IF(AND(GradingAssessment!$G$24&gt;=Q18,GradingAssessment!$G$24&lt;='Loss Control Planning'!Q19),1,0)</f>
        <v>0</v>
      </c>
      <c r="R20" s="60"/>
      <c r="S20" s="308"/>
      <c r="T20" s="496"/>
      <c r="U20" s="60"/>
    </row>
    <row r="21" spans="1:22" ht="94.95" customHeight="1" thickBot="1">
      <c r="A21" s="492"/>
      <c r="B21" s="306"/>
      <c r="C21" s="867" t="s">
        <v>343</v>
      </c>
      <c r="D21" s="868"/>
      <c r="E21" s="868"/>
      <c r="F21" s="868"/>
      <c r="G21" s="868"/>
      <c r="H21" s="868"/>
      <c r="I21" s="868"/>
      <c r="J21" s="868"/>
      <c r="K21" s="868"/>
      <c r="L21" s="868"/>
      <c r="M21" s="868"/>
      <c r="N21" s="868"/>
      <c r="O21" s="868"/>
      <c r="P21" s="868"/>
      <c r="Q21" s="868"/>
      <c r="R21" s="869"/>
      <c r="S21" s="308"/>
      <c r="T21" s="496"/>
      <c r="U21" s="60"/>
    </row>
    <row r="22" spans="1:22" ht="8.25" customHeight="1" thickBot="1">
      <c r="A22" s="492"/>
      <c r="B22" s="306"/>
      <c r="C22" s="316"/>
      <c r="D22" s="316"/>
      <c r="E22" s="316"/>
      <c r="F22" s="316"/>
      <c r="G22" s="307"/>
      <c r="H22" s="307"/>
      <c r="I22" s="307"/>
      <c r="J22" s="307"/>
      <c r="K22" s="307"/>
      <c r="L22" s="307"/>
      <c r="M22" s="307"/>
      <c r="N22" s="307"/>
      <c r="O22" s="307"/>
      <c r="P22" s="307"/>
      <c r="Q22" s="307"/>
      <c r="R22" s="307"/>
      <c r="S22" s="308"/>
      <c r="T22" s="496"/>
      <c r="U22" s="60"/>
    </row>
    <row r="23" spans="1:22" ht="42" customHeight="1" thickTop="1" thickBot="1">
      <c r="A23" s="492"/>
      <c r="B23" s="306"/>
      <c r="C23" s="905" t="s">
        <v>342</v>
      </c>
      <c r="D23" s="906"/>
      <c r="E23" s="906"/>
      <c r="F23" s="906"/>
      <c r="G23" s="906"/>
      <c r="H23" s="906"/>
      <c r="I23" s="906"/>
      <c r="J23" s="906"/>
      <c r="K23" s="906"/>
      <c r="L23" s="906"/>
      <c r="M23" s="906"/>
      <c r="N23" s="906"/>
      <c r="O23" s="906"/>
      <c r="P23" s="906"/>
      <c r="Q23" s="906"/>
      <c r="R23" s="906"/>
      <c r="S23" s="308"/>
      <c r="T23" s="496"/>
      <c r="U23" s="60"/>
    </row>
    <row r="24" spans="1:22" ht="26.25" customHeight="1" thickBot="1">
      <c r="A24" s="492"/>
      <c r="B24" s="306"/>
      <c r="C24" s="320" t="s">
        <v>79</v>
      </c>
      <c r="D24" s="898" t="s">
        <v>82</v>
      </c>
      <c r="E24" s="899"/>
      <c r="F24" s="899"/>
      <c r="G24" s="899"/>
      <c r="H24" s="900"/>
      <c r="I24" s="898" t="s">
        <v>80</v>
      </c>
      <c r="J24" s="899"/>
      <c r="K24" s="899"/>
      <c r="L24" s="899"/>
      <c r="M24" s="900"/>
      <c r="N24" s="898" t="s">
        <v>81</v>
      </c>
      <c r="O24" s="899"/>
      <c r="P24" s="899"/>
      <c r="Q24" s="899"/>
      <c r="R24" s="900"/>
      <c r="S24" s="308"/>
      <c r="T24" s="496"/>
      <c r="U24" s="60"/>
    </row>
    <row r="25" spans="1:22" ht="56.4" customHeight="1">
      <c r="A25" s="492"/>
      <c r="B25" s="306">
        <v>1</v>
      </c>
      <c r="C25" s="321" t="s">
        <v>83</v>
      </c>
      <c r="D25" s="901" t="s">
        <v>41</v>
      </c>
      <c r="E25" s="902"/>
      <c r="F25" s="902"/>
      <c r="G25" s="902"/>
      <c r="H25" s="903"/>
      <c r="I25" s="901" t="s">
        <v>43</v>
      </c>
      <c r="J25" s="902"/>
      <c r="K25" s="902"/>
      <c r="L25" s="902"/>
      <c r="M25" s="903"/>
      <c r="N25" s="901" t="s">
        <v>45</v>
      </c>
      <c r="O25" s="902"/>
      <c r="P25" s="902"/>
      <c r="Q25" s="902"/>
      <c r="R25" s="904"/>
      <c r="S25" s="308" t="e">
        <f>IF(AND('Reporting Worksheet'!#REF!&gt;='Loss Control Planning'!U25,'Reporting Worksheet'!#REF!&lt;='Loss Control Planning'!V25),1,0)</f>
        <v>#REF!</v>
      </c>
      <c r="T25" s="496"/>
      <c r="U25" s="60">
        <v>1</v>
      </c>
      <c r="V25" s="63">
        <v>3</v>
      </c>
    </row>
    <row r="26" spans="1:22" ht="56.4" customHeight="1">
      <c r="A26" s="492"/>
      <c r="B26" s="306">
        <v>2</v>
      </c>
      <c r="C26" s="322" t="s">
        <v>242</v>
      </c>
      <c r="D26" s="891" t="s">
        <v>49</v>
      </c>
      <c r="E26" s="892"/>
      <c r="F26" s="892"/>
      <c r="G26" s="892"/>
      <c r="H26" s="897"/>
      <c r="I26" s="891" t="s">
        <v>44</v>
      </c>
      <c r="J26" s="892"/>
      <c r="K26" s="892"/>
      <c r="L26" s="892"/>
      <c r="M26" s="897"/>
      <c r="N26" s="891" t="s">
        <v>46</v>
      </c>
      <c r="O26" s="892"/>
      <c r="P26" s="892"/>
      <c r="Q26" s="892"/>
      <c r="R26" s="893"/>
      <c r="S26" s="308" t="e">
        <f>IF(AND('Reporting Worksheet'!#REF!&gt;='Loss Control Planning'!U26,'Reporting Worksheet'!#REF!&lt;='Loss Control Planning'!V26),1,0)</f>
        <v>#REF!</v>
      </c>
      <c r="T26" s="496"/>
      <c r="U26" s="60">
        <v>3</v>
      </c>
      <c r="V26" s="55">
        <v>5</v>
      </c>
    </row>
    <row r="27" spans="1:22" ht="56.4" customHeight="1">
      <c r="A27" s="492"/>
      <c r="B27" s="306">
        <v>3</v>
      </c>
      <c r="C27" s="323" t="s">
        <v>243</v>
      </c>
      <c r="D27" s="891" t="s">
        <v>42</v>
      </c>
      <c r="E27" s="892"/>
      <c r="F27" s="892"/>
      <c r="G27" s="892"/>
      <c r="H27" s="897"/>
      <c r="I27" s="891" t="s">
        <v>40</v>
      </c>
      <c r="J27" s="892"/>
      <c r="K27" s="892"/>
      <c r="L27" s="892"/>
      <c r="M27" s="897"/>
      <c r="N27" s="891" t="s">
        <v>47</v>
      </c>
      <c r="O27" s="892"/>
      <c r="P27" s="892"/>
      <c r="Q27" s="892"/>
      <c r="R27" s="893"/>
      <c r="S27" s="308" t="e">
        <f>IF(AND('Reporting Worksheet'!#REF!&gt;='Loss Control Planning'!U27,'Reporting Worksheet'!#REF!&lt;='Loss Control Planning'!V27),1,0)</f>
        <v>#REF!</v>
      </c>
      <c r="T27" s="496"/>
      <c r="U27" s="60">
        <v>5</v>
      </c>
      <c r="V27" s="55">
        <v>8</v>
      </c>
    </row>
    <row r="28" spans="1:22" ht="40.950000000000003" customHeight="1">
      <c r="A28" s="492"/>
      <c r="B28" s="306"/>
      <c r="C28" s="322" t="s">
        <v>84</v>
      </c>
      <c r="D28" s="891" t="s">
        <v>48</v>
      </c>
      <c r="E28" s="892"/>
      <c r="F28" s="892"/>
      <c r="G28" s="892"/>
      <c r="H28" s="892"/>
      <c r="I28" s="892"/>
      <c r="J28" s="892"/>
      <c r="K28" s="892"/>
      <c r="L28" s="892"/>
      <c r="M28" s="892"/>
      <c r="N28" s="892"/>
      <c r="O28" s="892"/>
      <c r="P28" s="892"/>
      <c r="Q28" s="892"/>
      <c r="R28" s="893"/>
      <c r="S28" s="308" t="e">
        <f>IF('Reporting Worksheet'!#REF!&gt;'Loss Control Planning'!U28,1,0)</f>
        <v>#REF!</v>
      </c>
      <c r="T28" s="496"/>
      <c r="U28" s="60">
        <v>8</v>
      </c>
    </row>
    <row r="29" spans="1:22" ht="76.2" customHeight="1" thickBot="1">
      <c r="A29" s="492"/>
      <c r="B29" s="306">
        <v>4</v>
      </c>
      <c r="C29" s="324" t="s">
        <v>191</v>
      </c>
      <c r="D29" s="894" t="s">
        <v>70</v>
      </c>
      <c r="E29" s="895"/>
      <c r="F29" s="895"/>
      <c r="G29" s="895"/>
      <c r="H29" s="895"/>
      <c r="I29" s="895"/>
      <c r="J29" s="895"/>
      <c r="K29" s="895"/>
      <c r="L29" s="895"/>
      <c r="M29" s="895"/>
      <c r="N29" s="895"/>
      <c r="O29" s="895"/>
      <c r="P29" s="895"/>
      <c r="Q29" s="895"/>
      <c r="R29" s="896"/>
      <c r="S29" s="308" t="e">
        <f>IF('Reporting Worksheet'!#REF!&lt;1,1,0)</f>
        <v>#REF!</v>
      </c>
      <c r="T29" s="496"/>
      <c r="U29" s="60">
        <v>1</v>
      </c>
    </row>
    <row r="30" spans="1:22" ht="9" customHeight="1">
      <c r="A30" s="492"/>
      <c r="B30" s="306"/>
      <c r="C30" s="316"/>
      <c r="D30" s="316"/>
      <c r="E30" s="316"/>
      <c r="F30" s="316"/>
      <c r="G30" s="307"/>
      <c r="H30" s="307"/>
      <c r="I30" s="307"/>
      <c r="J30" s="307"/>
      <c r="K30" s="307"/>
      <c r="L30" s="307"/>
      <c r="M30" s="307"/>
      <c r="N30" s="307"/>
      <c r="O30" s="307"/>
      <c r="P30" s="307"/>
      <c r="Q30" s="307"/>
      <c r="R30" s="307"/>
      <c r="S30" s="308"/>
      <c r="T30" s="496"/>
      <c r="U30" s="60"/>
    </row>
    <row r="31" spans="1:22" ht="0" hidden="1" customHeight="1">
      <c r="A31" s="492"/>
      <c r="B31" s="310"/>
      <c r="C31" s="317"/>
      <c r="D31" s="317"/>
      <c r="E31" s="317"/>
      <c r="F31" s="317"/>
      <c r="G31" s="317"/>
      <c r="H31" s="317"/>
      <c r="I31" s="317"/>
      <c r="J31" s="317"/>
      <c r="K31" s="317"/>
      <c r="L31" s="317"/>
      <c r="M31" s="317"/>
      <c r="N31" s="317"/>
      <c r="O31" s="317"/>
      <c r="P31" s="317"/>
      <c r="Q31" s="317"/>
      <c r="R31" s="317"/>
      <c r="S31" s="314"/>
      <c r="T31" s="493"/>
    </row>
    <row r="32" spans="1:22" ht="0" hidden="1" customHeight="1">
      <c r="A32" s="492"/>
      <c r="B32" s="310"/>
      <c r="C32" s="317"/>
      <c r="D32" s="317"/>
      <c r="E32" s="317"/>
      <c r="F32" s="317"/>
      <c r="G32" s="317"/>
      <c r="H32" s="317"/>
      <c r="I32" s="317"/>
      <c r="J32" s="317"/>
      <c r="K32" s="317"/>
      <c r="L32" s="317"/>
      <c r="M32" s="317"/>
      <c r="N32" s="317"/>
      <c r="O32" s="317"/>
      <c r="P32" s="317"/>
      <c r="Q32" s="317"/>
      <c r="R32" s="317"/>
      <c r="S32" s="314"/>
      <c r="T32" s="493"/>
    </row>
    <row r="33" spans="1:21" ht="0" hidden="1" customHeight="1">
      <c r="A33" s="492"/>
      <c r="B33" s="310"/>
      <c r="C33" s="317"/>
      <c r="D33" s="317"/>
      <c r="E33" s="317"/>
      <c r="F33" s="317"/>
      <c r="G33" s="317"/>
      <c r="H33" s="317"/>
      <c r="I33" s="317"/>
      <c r="J33" s="317"/>
      <c r="K33" s="317"/>
      <c r="L33" s="317"/>
      <c r="M33" s="317"/>
      <c r="N33" s="317"/>
      <c r="O33" s="317"/>
      <c r="P33" s="317"/>
      <c r="Q33" s="317"/>
      <c r="R33" s="317"/>
      <c r="S33" s="314"/>
      <c r="T33" s="493"/>
    </row>
    <row r="34" spans="1:21" ht="6" customHeight="1" thickBot="1">
      <c r="A34" s="492"/>
      <c r="B34" s="311"/>
      <c r="C34" s="318"/>
      <c r="D34" s="318"/>
      <c r="E34" s="318"/>
      <c r="F34" s="318"/>
      <c r="G34" s="318"/>
      <c r="H34" s="318"/>
      <c r="I34" s="318"/>
      <c r="J34" s="318"/>
      <c r="K34" s="318"/>
      <c r="L34" s="318"/>
      <c r="M34" s="318"/>
      <c r="N34" s="318"/>
      <c r="O34" s="318"/>
      <c r="P34" s="318"/>
      <c r="Q34" s="318"/>
      <c r="R34" s="318"/>
      <c r="S34" s="315"/>
      <c r="T34" s="496"/>
      <c r="U34" s="60"/>
    </row>
    <row r="35" spans="1:21" ht="7.5" customHeight="1" thickTop="1">
      <c r="A35" s="492"/>
      <c r="B35" s="492"/>
      <c r="C35" s="493"/>
      <c r="D35" s="493"/>
      <c r="E35" s="493"/>
      <c r="F35" s="493"/>
      <c r="G35" s="493"/>
      <c r="H35" s="493"/>
      <c r="I35" s="493"/>
      <c r="J35" s="493"/>
      <c r="K35" s="493"/>
      <c r="L35" s="493"/>
      <c r="M35" s="493"/>
      <c r="N35" s="493"/>
      <c r="O35" s="493"/>
      <c r="P35" s="493"/>
      <c r="Q35" s="493"/>
      <c r="R35" s="493"/>
      <c r="S35" s="494"/>
      <c r="T35" s="493"/>
    </row>
    <row r="36" spans="1:21" ht="13.8" hidden="1"/>
    <row r="37" spans="1:21" ht="13.8" hidden="1"/>
    <row r="38" spans="1:21" ht="13.8" hidden="1"/>
    <row r="39" spans="1:21" ht="13.8" hidden="1"/>
    <row r="40" spans="1:21" ht="13.8" hidden="1"/>
    <row r="41" spans="1:21" ht="13.8" hidden="1"/>
    <row r="42" spans="1:21" ht="13.8" hidden="1"/>
    <row r="43" spans="1:21" ht="13.8" hidden="1"/>
    <row r="44" spans="1:21" ht="13.8" hidden="1"/>
    <row r="45" spans="1:21" ht="13.8" hidden="1"/>
    <row r="46" spans="1:21" ht="13.8" hidden="1"/>
    <row r="47" spans="1:21" ht="13.8" hidden="1"/>
    <row r="48" spans="1:21" ht="13.8" hidden="1"/>
    <row r="49" ht="13.8" hidden="1"/>
    <row r="50" ht="13.8" hidden="1"/>
    <row r="51" ht="13.8" hidden="1"/>
    <row r="52" ht="13.8" hidden="1"/>
    <row r="53" ht="13.8" hidden="1"/>
    <row r="54" ht="13.8" hidden="1"/>
    <row r="55" ht="13.8" hidden="1"/>
    <row r="56" ht="13.8" hidden="1"/>
    <row r="57" ht="13.8" hidden="1"/>
    <row r="58" ht="13.8" hidden="1"/>
    <row r="59" ht="13.8" hidden="1"/>
    <row r="60" ht="13.8" hidden="1"/>
    <row r="61" ht="13.8" hidden="1"/>
    <row r="62" ht="13.8" hidden="1"/>
    <row r="63" ht="13.8" hidden="1"/>
    <row r="64" ht="13.8" hidden="1"/>
    <row r="65" ht="13.8" hidden="1"/>
    <row r="66" ht="13.8" hidden="1"/>
    <row r="67" ht="13.8" hidden="1"/>
    <row r="68" ht="13.8" hidden="1"/>
    <row r="69" ht="13.8" hidden="1"/>
    <row r="70" ht="13.8" hidden="1"/>
    <row r="71" ht="13.8" hidden="1"/>
    <row r="72" ht="13.8" hidden="1"/>
    <row r="73" ht="13.8" hidden="1"/>
    <row r="74" ht="13.8" hidden="1"/>
    <row r="75" ht="13.8" hidden="1"/>
    <row r="76" ht="13.8" hidden="1"/>
    <row r="77" ht="13.8" hidden="1"/>
    <row r="78" ht="13.8" hidden="1"/>
    <row r="79" ht="13.8" hidden="1"/>
    <row r="80" ht="13.8" hidden="1"/>
    <row r="81" ht="13.8" hidden="1"/>
    <row r="82" ht="13.8" hidden="1"/>
    <row r="83" ht="13.8" hidden="1"/>
    <row r="84" ht="13.8" hidden="1"/>
    <row r="85" ht="13.8" hidden="1"/>
    <row r="86" ht="13.8" hidden="1"/>
    <row r="87" ht="13.8" hidden="1"/>
    <row r="88" ht="13.8" hidden="1"/>
    <row r="89" ht="13.8" hidden="1"/>
    <row r="90" ht="13.8" hidden="1"/>
    <row r="91" ht="13.8" hidden="1"/>
    <row r="92" ht="13.8" hidden="1"/>
    <row r="93" ht="13.8" hidden="1"/>
    <row r="94" ht="13.8" hidden="1"/>
    <row r="95" ht="13.8" hidden="1"/>
    <row r="96" ht="13.8" hidden="1"/>
    <row r="97" ht="13.8" hidden="1"/>
    <row r="98" ht="13.5" hidden="1" customHeight="1"/>
  </sheetData>
  <sheetProtection password="8B16" sheet="1" objects="1" scenarios="1" selectLockedCells="1"/>
  <mergeCells count="52">
    <mergeCell ref="B2:S2"/>
    <mergeCell ref="N26:R26"/>
    <mergeCell ref="N27:R27"/>
    <mergeCell ref="D28:R28"/>
    <mergeCell ref="D29:R29"/>
    <mergeCell ref="D26:H26"/>
    <mergeCell ref="D27:H27"/>
    <mergeCell ref="I26:M26"/>
    <mergeCell ref="I27:M27"/>
    <mergeCell ref="D24:H24"/>
    <mergeCell ref="D25:H25"/>
    <mergeCell ref="N24:R24"/>
    <mergeCell ref="N25:R25"/>
    <mergeCell ref="I24:M24"/>
    <mergeCell ref="I25:M25"/>
    <mergeCell ref="C23:R23"/>
    <mergeCell ref="D15:F15"/>
    <mergeCell ref="G15:I15"/>
    <mergeCell ref="J15:L15"/>
    <mergeCell ref="M15:O15"/>
    <mergeCell ref="P15:R15"/>
    <mergeCell ref="C21:R21"/>
    <mergeCell ref="C16:R16"/>
    <mergeCell ref="D12:F12"/>
    <mergeCell ref="G10:I10"/>
    <mergeCell ref="P10:R10"/>
    <mergeCell ref="G11:I11"/>
    <mergeCell ref="P12:R12"/>
    <mergeCell ref="G12:I12"/>
    <mergeCell ref="J12:L12"/>
    <mergeCell ref="M12:O12"/>
    <mergeCell ref="D11:F11"/>
    <mergeCell ref="P14:R14"/>
    <mergeCell ref="D13:F13"/>
    <mergeCell ref="G13:I13"/>
    <mergeCell ref="J13:L13"/>
    <mergeCell ref="M13:O13"/>
    <mergeCell ref="P13:R13"/>
    <mergeCell ref="D14:F14"/>
    <mergeCell ref="G14:I14"/>
    <mergeCell ref="J14:L14"/>
    <mergeCell ref="M14:O14"/>
    <mergeCell ref="G4:O4"/>
    <mergeCell ref="H5:I5"/>
    <mergeCell ref="C8:R8"/>
    <mergeCell ref="J11:L11"/>
    <mergeCell ref="M11:O11"/>
    <mergeCell ref="P11:R11"/>
    <mergeCell ref="J10:L10"/>
    <mergeCell ref="M10:O10"/>
    <mergeCell ref="D9:R9"/>
    <mergeCell ref="D10:F10"/>
  </mergeCells>
  <phoneticPr fontId="0" type="noConversion"/>
  <conditionalFormatting sqref="C16:R17">
    <cfRule type="expression" dxfId="13" priority="1" stopIfTrue="1">
      <formula>OR(E20=1,H20=1)</formula>
    </cfRule>
  </conditionalFormatting>
  <conditionalFormatting sqref="P10:R15">
    <cfRule type="expression" dxfId="12" priority="2" stopIfTrue="1">
      <formula>$Q$20=1</formula>
    </cfRule>
  </conditionalFormatting>
  <conditionalFormatting sqref="M10:O15">
    <cfRule type="expression" dxfId="11" priority="3" stopIfTrue="1">
      <formula>$N$20=1</formula>
    </cfRule>
  </conditionalFormatting>
  <conditionalFormatting sqref="J10:L15">
    <cfRule type="expression" dxfId="10" priority="4" stopIfTrue="1">
      <formula>$K$20=1</formula>
    </cfRule>
  </conditionalFormatting>
  <conditionalFormatting sqref="G10:I13">
    <cfRule type="expression" dxfId="9" priority="5" stopIfTrue="1">
      <formula>$H$20=1</formula>
    </cfRule>
  </conditionalFormatting>
  <conditionalFormatting sqref="D10:F12">
    <cfRule type="expression" dxfId="8" priority="6" stopIfTrue="1">
      <formula>$E$20=1</formula>
    </cfRule>
  </conditionalFormatting>
  <conditionalFormatting sqref="C26:R26">
    <cfRule type="expression" dxfId="7" priority="7" stopIfTrue="1">
      <formula>$S$26=1</formula>
    </cfRule>
  </conditionalFormatting>
  <conditionalFormatting sqref="C27:R27">
    <cfRule type="expression" dxfId="6" priority="8" stopIfTrue="1">
      <formula>$S$27=1</formula>
    </cfRule>
  </conditionalFormatting>
  <conditionalFormatting sqref="C28:R28">
    <cfRule type="expression" dxfId="5" priority="9" stopIfTrue="1">
      <formula>$S$28=1</formula>
    </cfRule>
  </conditionalFormatting>
  <conditionalFormatting sqref="C29:R29">
    <cfRule type="expression" dxfId="4" priority="10" stopIfTrue="1">
      <formula>$S$29=1</formula>
    </cfRule>
  </conditionalFormatting>
  <conditionalFormatting sqref="C25">
    <cfRule type="expression" dxfId="3" priority="11" stopIfTrue="1">
      <formula>$S$25=1</formula>
    </cfRule>
  </conditionalFormatting>
  <conditionalFormatting sqref="D25:H25">
    <cfRule type="expression" dxfId="2" priority="12" stopIfTrue="1">
      <formula>S25=1</formula>
    </cfRule>
  </conditionalFormatting>
  <conditionalFormatting sqref="I25:M25">
    <cfRule type="expression" dxfId="1" priority="13" stopIfTrue="1">
      <formula>S25=1</formula>
    </cfRule>
  </conditionalFormatting>
  <conditionalFormatting sqref="N25:R25">
    <cfRule type="expression" dxfId="0" priority="14" stopIfTrue="1">
      <formula>S25=1</formula>
    </cfRule>
  </conditionalFormatting>
  <printOptions horizontalCentered="1" verticalCentered="1"/>
  <pageMargins left="0.75" right="0.75" top="0.67" bottom="0.76" header="0.5" footer="0.5"/>
  <pageSetup scale="78" orientation="landscape" horizontalDpi="1200" r:id="rId1"/>
  <headerFooter alignWithMargins="0">
    <oddFooter>&amp;CAWWA Free Water Audit Software v5.0&amp;R&amp;A     &amp;P</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theme="3" tint="0.79998168889431442"/>
    <pageSetUpPr fitToPage="1"/>
  </sheetPr>
  <dimension ref="A1:P328"/>
  <sheetViews>
    <sheetView showGridLines="0" showRowColHeaders="0" workbookViewId="0">
      <pane ySplit="2" topLeftCell="A102" activePane="bottomLeft" state="frozen"/>
      <selection pane="bottomLeft" activeCell="A3" sqref="A3"/>
    </sheetView>
  </sheetViews>
  <sheetFormatPr defaultColWidth="0" defaultRowHeight="13.8" zeroHeight="1"/>
  <cols>
    <col min="1" max="4" width="9.6640625" style="5" customWidth="1"/>
    <col min="5" max="5" width="9.6640625" style="43" customWidth="1"/>
    <col min="6" max="16" width="9.6640625" style="5" customWidth="1"/>
    <col min="17" max="17" width="1.33203125" style="5" customWidth="1"/>
    <col min="18" max="16384" width="0" style="5" hidden="1"/>
  </cols>
  <sheetData>
    <row r="1" spans="1:16" ht="48" customHeight="1" thickTop="1">
      <c r="A1" s="888" t="s">
        <v>743</v>
      </c>
      <c r="B1" s="889"/>
      <c r="C1" s="889"/>
      <c r="D1" s="889"/>
      <c r="E1" s="889"/>
      <c r="F1" s="889"/>
      <c r="G1" s="889"/>
      <c r="H1" s="889"/>
      <c r="I1" s="889"/>
      <c r="J1" s="889"/>
      <c r="K1" s="889"/>
      <c r="L1" s="889"/>
      <c r="M1" s="889"/>
      <c r="N1" s="889"/>
      <c r="O1" s="889"/>
      <c r="P1" s="890"/>
    </row>
    <row r="2" spans="1:16" ht="34.950000000000003" customHeight="1"/>
    <row r="3" spans="1:16"/>
    <row r="4" spans="1:16"/>
    <row r="5" spans="1:16"/>
    <row r="6" spans="1:16"/>
    <row r="7" spans="1:16"/>
    <row r="8" spans="1:16"/>
    <row r="9" spans="1:16"/>
    <row r="10" spans="1:16"/>
    <row r="11" spans="1:16"/>
    <row r="12" spans="1:16"/>
    <row r="13" spans="1:16"/>
    <row r="14" spans="1:16"/>
    <row r="15" spans="1:16"/>
    <row r="16" spans="1:16"/>
    <row r="17"/>
    <row r="18"/>
    <row r="19"/>
    <row r="20"/>
    <row r="21"/>
    <row r="22"/>
    <row r="23"/>
    <row r="24"/>
    <row r="25"/>
    <row r="26"/>
    <row r="27"/>
    <row r="28"/>
    <row r="29"/>
    <row r="30"/>
    <row r="31"/>
    <row r="32"/>
    <row r="33"/>
    <row r="34"/>
    <row r="35"/>
    <row r="36"/>
    <row r="37"/>
    <row r="38"/>
    <row r="39"/>
    <row r="40"/>
    <row r="41"/>
    <row r="42"/>
    <row r="43"/>
    <row r="44"/>
    <row r="45"/>
    <row r="46"/>
    <row r="47"/>
    <row r="48"/>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hidden="1"/>
    <row r="326" hidden="1"/>
    <row r="327" hidden="1"/>
    <row r="328" hidden="1"/>
  </sheetData>
  <sheetProtection password="8B16" sheet="1" objects="1" scenarios="1"/>
  <mergeCells count="1">
    <mergeCell ref="A1:P1"/>
  </mergeCells>
  <phoneticPr fontId="0" type="noConversion"/>
  <printOptions horizontalCentered="1" verticalCentered="1"/>
  <pageMargins left="0.25" right="0.25" top="0.5" bottom="0.5" header="0.3" footer="0.3"/>
  <pageSetup scale="67" fitToHeight="0" orientation="portrait" horizontalDpi="1200" r:id="rId1"/>
  <headerFooter alignWithMargins="0">
    <oddFooter>&amp;CAWWA Free Water Audit Software v5.0&amp;R&amp;A      &amp;P</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tabColor theme="3" tint="0.79998168889431442"/>
  </sheetPr>
  <dimension ref="A1:IU93"/>
  <sheetViews>
    <sheetView showGridLines="0" showRowColHeaders="0" zoomScaleNormal="100" workbookViewId="0">
      <pane ySplit="2" topLeftCell="A3" activePane="bottomLeft" state="frozen"/>
      <selection pane="bottomLeft"/>
    </sheetView>
  </sheetViews>
  <sheetFormatPr defaultColWidth="0" defaultRowHeight="0" customHeight="1" zeroHeight="1"/>
  <cols>
    <col min="1" max="1" width="1.44140625" style="4" customWidth="1"/>
    <col min="2" max="2" width="1.6640625" style="4" customWidth="1"/>
    <col min="3" max="3" width="18.5546875" style="1" customWidth="1"/>
    <col min="4" max="4" width="8.88671875" style="1" customWidth="1"/>
    <col min="5" max="5" width="13.5546875" style="1" customWidth="1"/>
    <col min="6" max="6" width="9.5546875" style="1" customWidth="1"/>
    <col min="7" max="17" width="8" style="1" customWidth="1"/>
    <col min="18" max="18" width="8.44140625" style="1" customWidth="1"/>
    <col min="19" max="19" width="2.109375" style="62" customWidth="1"/>
    <col min="20" max="20" width="1.6640625" style="20" customWidth="1"/>
    <col min="21" max="21" width="2.109375" style="55" hidden="1" customWidth="1"/>
    <col min="22" max="22" width="3" style="55" hidden="1" customWidth="1"/>
    <col min="23" max="255" width="0" style="1" hidden="1" customWidth="1"/>
    <col min="256" max="16384" width="3.109375" style="1" hidden="1"/>
  </cols>
  <sheetData>
    <row r="1" spans="1:22" s="3" customFormat="1" ht="8.25" customHeight="1" thickBot="1">
      <c r="A1" s="492"/>
      <c r="B1" s="492"/>
      <c r="C1" s="493"/>
      <c r="D1" s="493"/>
      <c r="E1" s="493"/>
      <c r="F1" s="493"/>
      <c r="G1" s="493"/>
      <c r="H1" s="493"/>
      <c r="I1" s="493"/>
      <c r="J1" s="493"/>
      <c r="K1" s="493"/>
      <c r="L1" s="493"/>
      <c r="M1" s="493"/>
      <c r="N1" s="493"/>
      <c r="O1" s="493"/>
      <c r="P1" s="493"/>
      <c r="Q1" s="493"/>
      <c r="R1" s="493"/>
      <c r="S1" s="494"/>
      <c r="T1" s="493"/>
      <c r="U1" s="55"/>
      <c r="V1" s="55"/>
    </row>
    <row r="2" spans="1:22" ht="42" customHeight="1" thickTop="1">
      <c r="A2" s="492"/>
      <c r="B2" s="888" t="s">
        <v>345</v>
      </c>
      <c r="C2" s="889"/>
      <c r="D2" s="889"/>
      <c r="E2" s="889"/>
      <c r="F2" s="889"/>
      <c r="G2" s="889"/>
      <c r="H2" s="889"/>
      <c r="I2" s="889"/>
      <c r="J2" s="889"/>
      <c r="K2" s="889"/>
      <c r="L2" s="889"/>
      <c r="M2" s="889"/>
      <c r="N2" s="889"/>
      <c r="O2" s="889"/>
      <c r="P2" s="889"/>
      <c r="Q2" s="889"/>
      <c r="R2" s="889"/>
      <c r="S2" s="890"/>
      <c r="T2" s="495"/>
      <c r="U2" s="61"/>
    </row>
    <row r="3" spans="1:22" ht="8.25" customHeight="1" thickBot="1">
      <c r="A3" s="492"/>
      <c r="B3" s="306"/>
      <c r="C3" s="316"/>
      <c r="D3" s="316"/>
      <c r="E3" s="316"/>
      <c r="F3" s="316"/>
      <c r="G3" s="307"/>
      <c r="H3" s="307"/>
      <c r="I3" s="307"/>
      <c r="J3" s="307"/>
      <c r="K3" s="307"/>
      <c r="L3" s="307"/>
      <c r="M3" s="307"/>
      <c r="N3" s="307"/>
      <c r="O3" s="307"/>
      <c r="P3" s="307"/>
      <c r="Q3" s="307"/>
      <c r="R3" s="307"/>
      <c r="S3" s="308"/>
      <c r="T3" s="496"/>
      <c r="U3" s="60"/>
    </row>
    <row r="4" spans="1:22" s="232" customFormat="1" ht="46.5" customHeight="1" thickBot="1">
      <c r="A4" s="468"/>
      <c r="B4" s="328"/>
      <c r="C4" s="911" t="s">
        <v>755</v>
      </c>
      <c r="D4" s="912"/>
      <c r="E4" s="912"/>
      <c r="F4" s="912"/>
      <c r="G4" s="912"/>
      <c r="H4" s="912"/>
      <c r="I4" s="912"/>
      <c r="J4" s="912"/>
      <c r="K4" s="912"/>
      <c r="L4" s="912"/>
      <c r="M4" s="912"/>
      <c r="N4" s="912"/>
      <c r="O4" s="912"/>
      <c r="P4" s="912"/>
      <c r="Q4" s="912"/>
      <c r="R4" s="913"/>
      <c r="S4" s="329"/>
      <c r="T4" s="497"/>
      <c r="U4" s="6"/>
      <c r="V4" s="330"/>
    </row>
    <row r="5" spans="1:22" s="232" customFormat="1" ht="7.5" customHeight="1" thickBot="1">
      <c r="A5" s="468"/>
      <c r="B5" s="328"/>
      <c r="C5" s="331"/>
      <c r="D5" s="325"/>
      <c r="E5" s="325"/>
      <c r="F5" s="325"/>
      <c r="G5" s="325"/>
      <c r="H5" s="325"/>
      <c r="I5" s="325"/>
      <c r="J5" s="325"/>
      <c r="K5" s="325"/>
      <c r="L5" s="325"/>
      <c r="M5" s="325"/>
      <c r="N5" s="325"/>
      <c r="O5" s="325"/>
      <c r="P5" s="325"/>
      <c r="Q5" s="325"/>
      <c r="R5" s="325"/>
      <c r="S5" s="329"/>
      <c r="T5" s="497"/>
      <c r="U5" s="6"/>
      <c r="V5" s="330"/>
    </row>
    <row r="6" spans="1:22" s="232" customFormat="1" ht="61.95" customHeight="1" thickBot="1">
      <c r="A6" s="468"/>
      <c r="B6" s="328"/>
      <c r="C6" s="914" t="s">
        <v>664</v>
      </c>
      <c r="D6" s="915"/>
      <c r="E6" s="915"/>
      <c r="F6" s="915"/>
      <c r="G6" s="915"/>
      <c r="H6" s="915"/>
      <c r="I6" s="915"/>
      <c r="J6" s="915"/>
      <c r="K6" s="915"/>
      <c r="L6" s="915"/>
      <c r="M6" s="915"/>
      <c r="N6" s="915"/>
      <c r="O6" s="915"/>
      <c r="P6" s="915"/>
      <c r="Q6" s="915"/>
      <c r="R6" s="916"/>
      <c r="S6" s="329"/>
      <c r="T6" s="497"/>
      <c r="U6" s="6"/>
      <c r="V6" s="330"/>
    </row>
    <row r="7" spans="1:22" s="232" customFormat="1" ht="8.25" customHeight="1" thickBot="1">
      <c r="A7" s="468"/>
      <c r="B7" s="328"/>
      <c r="C7" s="326"/>
      <c r="D7" s="326"/>
      <c r="E7" s="326"/>
      <c r="F7" s="326"/>
      <c r="G7" s="327"/>
      <c r="H7" s="327"/>
      <c r="I7" s="327"/>
      <c r="J7" s="327"/>
      <c r="K7" s="327"/>
      <c r="L7" s="327"/>
      <c r="M7" s="327"/>
      <c r="N7" s="327"/>
      <c r="O7" s="327"/>
      <c r="P7" s="327"/>
      <c r="Q7" s="327"/>
      <c r="R7" s="327"/>
      <c r="S7" s="332"/>
      <c r="T7" s="498"/>
      <c r="U7" s="67"/>
      <c r="V7" s="330"/>
    </row>
    <row r="8" spans="1:22" s="232" customFormat="1" ht="15.6">
      <c r="A8" s="468"/>
      <c r="B8" s="328"/>
      <c r="C8" s="350" t="s">
        <v>74</v>
      </c>
      <c r="D8" s="351" t="s">
        <v>651</v>
      </c>
      <c r="E8" s="337"/>
      <c r="F8" s="337"/>
      <c r="G8" s="338"/>
      <c r="H8" s="338"/>
      <c r="I8" s="338"/>
      <c r="J8" s="334"/>
      <c r="K8" s="334"/>
      <c r="L8" s="334"/>
      <c r="M8" s="334"/>
      <c r="N8" s="334"/>
      <c r="O8" s="334"/>
      <c r="P8" s="334"/>
      <c r="Q8" s="334"/>
      <c r="R8" s="346"/>
      <c r="S8" s="332"/>
      <c r="T8" s="498"/>
      <c r="U8" s="67"/>
      <c r="V8" s="330"/>
    </row>
    <row r="9" spans="1:22" s="232" customFormat="1" ht="15.6">
      <c r="A9" s="468"/>
      <c r="B9" s="328"/>
      <c r="C9" s="512"/>
      <c r="D9" s="352" t="s">
        <v>663</v>
      </c>
      <c r="E9" s="340"/>
      <c r="F9" s="340"/>
      <c r="G9" s="341"/>
      <c r="H9" s="341"/>
      <c r="I9" s="341"/>
      <c r="J9" s="335"/>
      <c r="K9" s="335"/>
      <c r="L9" s="335"/>
      <c r="M9" s="335"/>
      <c r="N9" s="335"/>
      <c r="O9" s="335"/>
      <c r="P9" s="335"/>
      <c r="Q9" s="335"/>
      <c r="R9" s="347"/>
      <c r="S9" s="332"/>
      <c r="T9" s="498"/>
      <c r="U9" s="67"/>
      <c r="V9" s="330"/>
    </row>
    <row r="10" spans="1:22" s="232" customFormat="1" ht="15.6">
      <c r="A10" s="468"/>
      <c r="B10" s="328"/>
      <c r="C10" s="512"/>
      <c r="D10" s="352" t="s">
        <v>652</v>
      </c>
      <c r="E10" s="340"/>
      <c r="F10" s="340"/>
      <c r="G10" s="341"/>
      <c r="H10" s="341"/>
      <c r="I10" s="341"/>
      <c r="J10" s="335"/>
      <c r="K10" s="335"/>
      <c r="L10" s="335"/>
      <c r="M10" s="335"/>
      <c r="N10" s="335"/>
      <c r="O10" s="335"/>
      <c r="P10" s="335"/>
      <c r="Q10" s="335"/>
      <c r="R10" s="347"/>
      <c r="S10" s="332"/>
      <c r="T10" s="498"/>
      <c r="U10" s="67"/>
      <c r="V10" s="330"/>
    </row>
    <row r="11" spans="1:22" s="232" customFormat="1" ht="15.6">
      <c r="A11" s="468"/>
      <c r="B11" s="328"/>
      <c r="C11" s="512"/>
      <c r="D11" s="352" t="s">
        <v>756</v>
      </c>
      <c r="E11" s="340"/>
      <c r="F11" s="340"/>
      <c r="G11" s="341"/>
      <c r="H11" s="341"/>
      <c r="I11" s="341"/>
      <c r="J11" s="335"/>
      <c r="K11" s="335"/>
      <c r="L11" s="335"/>
      <c r="M11" s="335"/>
      <c r="N11" s="335"/>
      <c r="O11" s="335"/>
      <c r="P11" s="335"/>
      <c r="Q11" s="335"/>
      <c r="R11" s="347"/>
      <c r="S11" s="332"/>
      <c r="T11" s="498"/>
      <c r="U11" s="67"/>
      <c r="V11" s="330"/>
    </row>
    <row r="12" spans="1:22" s="232" customFormat="1" ht="15.6">
      <c r="A12" s="468"/>
      <c r="B12" s="328"/>
      <c r="C12" s="512"/>
      <c r="D12" s="352" t="s">
        <v>653</v>
      </c>
      <c r="E12" s="340"/>
      <c r="F12" s="340"/>
      <c r="G12" s="341"/>
      <c r="H12" s="341"/>
      <c r="I12" s="341"/>
      <c r="J12" s="335"/>
      <c r="K12" s="335"/>
      <c r="L12" s="335"/>
      <c r="M12" s="335"/>
      <c r="N12" s="335"/>
      <c r="O12" s="335"/>
      <c r="P12" s="335"/>
      <c r="Q12" s="335"/>
      <c r="R12" s="347"/>
      <c r="S12" s="332"/>
      <c r="T12" s="498"/>
      <c r="U12" s="67"/>
      <c r="V12" s="330"/>
    </row>
    <row r="13" spans="1:22" s="232" customFormat="1" ht="15.6">
      <c r="A13" s="468"/>
      <c r="B13" s="328"/>
      <c r="C13" s="512"/>
      <c r="D13" s="352" t="s">
        <v>658</v>
      </c>
      <c r="E13" s="340"/>
      <c r="F13" s="340"/>
      <c r="G13" s="341"/>
      <c r="H13" s="341"/>
      <c r="I13" s="341"/>
      <c r="J13" s="335"/>
      <c r="K13" s="335"/>
      <c r="L13" s="335"/>
      <c r="M13" s="335"/>
      <c r="N13" s="335"/>
      <c r="O13" s="335"/>
      <c r="P13" s="335"/>
      <c r="Q13" s="335"/>
      <c r="R13" s="347"/>
      <c r="S13" s="332"/>
      <c r="T13" s="498"/>
      <c r="U13" s="67"/>
      <c r="V13" s="330"/>
    </row>
    <row r="14" spans="1:22" s="232" customFormat="1" ht="15.6">
      <c r="A14" s="468"/>
      <c r="B14" s="328"/>
      <c r="C14" s="512"/>
      <c r="D14" s="352" t="s">
        <v>654</v>
      </c>
      <c r="E14" s="340"/>
      <c r="F14" s="340"/>
      <c r="G14" s="341"/>
      <c r="H14" s="341"/>
      <c r="I14" s="341"/>
      <c r="J14" s="335"/>
      <c r="K14" s="335"/>
      <c r="L14" s="335"/>
      <c r="M14" s="335"/>
      <c r="N14" s="335"/>
      <c r="O14" s="335"/>
      <c r="P14" s="335"/>
      <c r="Q14" s="335"/>
      <c r="R14" s="347"/>
      <c r="S14" s="332"/>
      <c r="T14" s="498"/>
      <c r="U14" s="67"/>
      <c r="V14" s="330"/>
    </row>
    <row r="15" spans="1:22" s="232" customFormat="1" ht="15.6">
      <c r="A15" s="468"/>
      <c r="B15" s="328"/>
      <c r="C15" s="339"/>
      <c r="D15" s="352" t="s">
        <v>655</v>
      </c>
      <c r="E15" s="340"/>
      <c r="F15" s="340"/>
      <c r="G15" s="341"/>
      <c r="H15" s="341"/>
      <c r="I15" s="341"/>
      <c r="J15" s="335"/>
      <c r="K15" s="335"/>
      <c r="L15" s="335"/>
      <c r="M15" s="335"/>
      <c r="N15" s="335"/>
      <c r="O15" s="335"/>
      <c r="P15" s="335"/>
      <c r="Q15" s="335"/>
      <c r="R15" s="347"/>
      <c r="S15" s="332"/>
      <c r="T15" s="498"/>
      <c r="U15" s="67"/>
      <c r="V15" s="330"/>
    </row>
    <row r="16" spans="1:22" s="232" customFormat="1" ht="15.6" hidden="1">
      <c r="A16" s="468"/>
      <c r="B16" s="328"/>
      <c r="C16" s="333"/>
      <c r="D16" s="352" t="s">
        <v>656</v>
      </c>
      <c r="E16" s="340"/>
      <c r="F16" s="340"/>
      <c r="G16" s="341"/>
      <c r="H16" s="341"/>
      <c r="I16" s="341"/>
      <c r="J16" s="335"/>
      <c r="K16" s="335"/>
      <c r="L16" s="335"/>
      <c r="M16" s="335"/>
      <c r="N16" s="335"/>
      <c r="O16" s="335"/>
      <c r="P16" s="335"/>
      <c r="Q16" s="335"/>
      <c r="R16" s="347"/>
      <c r="S16" s="332"/>
      <c r="T16" s="498"/>
      <c r="U16" s="67"/>
      <c r="V16" s="330"/>
    </row>
    <row r="17" spans="1:22" s="232" customFormat="1" ht="16.2" thickBot="1">
      <c r="A17" s="468"/>
      <c r="B17" s="328"/>
      <c r="C17" s="342"/>
      <c r="D17" s="353" t="s">
        <v>657</v>
      </c>
      <c r="E17" s="343"/>
      <c r="F17" s="343"/>
      <c r="G17" s="344"/>
      <c r="H17" s="344"/>
      <c r="I17" s="344"/>
      <c r="J17" s="336"/>
      <c r="K17" s="336"/>
      <c r="L17" s="336"/>
      <c r="M17" s="336"/>
      <c r="N17" s="336"/>
      <c r="O17" s="336"/>
      <c r="P17" s="336"/>
      <c r="Q17" s="336"/>
      <c r="R17" s="348"/>
      <c r="S17" s="332"/>
      <c r="T17" s="498"/>
      <c r="U17" s="67"/>
      <c r="V17" s="330"/>
    </row>
    <row r="18" spans="1:22" s="232" customFormat="1" ht="8.25" customHeight="1" thickBot="1">
      <c r="A18" s="468"/>
      <c r="B18" s="328"/>
      <c r="C18" s="327"/>
      <c r="D18" s="327"/>
      <c r="E18" s="327"/>
      <c r="F18" s="327"/>
      <c r="G18" s="327"/>
      <c r="H18" s="327"/>
      <c r="I18" s="327"/>
      <c r="J18" s="327"/>
      <c r="K18" s="327"/>
      <c r="L18" s="327"/>
      <c r="M18" s="327"/>
      <c r="N18" s="327"/>
      <c r="O18" s="327"/>
      <c r="P18" s="327"/>
      <c r="Q18" s="327"/>
      <c r="R18" s="327"/>
      <c r="S18" s="332"/>
      <c r="T18" s="498"/>
      <c r="U18" s="67"/>
      <c r="V18" s="330"/>
    </row>
    <row r="19" spans="1:22" s="232" customFormat="1" ht="33.6" customHeight="1">
      <c r="A19" s="468"/>
      <c r="B19" s="328"/>
      <c r="C19" s="349" t="s">
        <v>73</v>
      </c>
      <c r="D19" s="907" t="s">
        <v>240</v>
      </c>
      <c r="E19" s="907"/>
      <c r="F19" s="907"/>
      <c r="G19" s="907"/>
      <c r="H19" s="907"/>
      <c r="I19" s="907"/>
      <c r="J19" s="907"/>
      <c r="K19" s="907"/>
      <c r="L19" s="907"/>
      <c r="M19" s="907"/>
      <c r="N19" s="907"/>
      <c r="O19" s="907"/>
      <c r="P19" s="907"/>
      <c r="Q19" s="907"/>
      <c r="R19" s="908"/>
      <c r="S19" s="332"/>
      <c r="T19" s="498"/>
      <c r="U19" s="67"/>
      <c r="V19" s="330"/>
    </row>
    <row r="20" spans="1:22" s="232" customFormat="1" ht="73.5" customHeight="1" thickBot="1">
      <c r="A20" s="468"/>
      <c r="B20" s="328"/>
      <c r="C20" s="345"/>
      <c r="D20" s="909" t="s">
        <v>344</v>
      </c>
      <c r="E20" s="909"/>
      <c r="F20" s="909"/>
      <c r="G20" s="909"/>
      <c r="H20" s="909"/>
      <c r="I20" s="909"/>
      <c r="J20" s="909"/>
      <c r="K20" s="909"/>
      <c r="L20" s="909"/>
      <c r="M20" s="909"/>
      <c r="N20" s="909"/>
      <c r="O20" s="909"/>
      <c r="P20" s="909"/>
      <c r="Q20" s="909"/>
      <c r="R20" s="910"/>
      <c r="S20" s="332"/>
      <c r="T20" s="498"/>
      <c r="U20" s="67"/>
      <c r="V20" s="330"/>
    </row>
    <row r="21" spans="1:22" s="232" customFormat="1" ht="8.25" customHeight="1" thickBot="1">
      <c r="A21" s="468"/>
      <c r="B21" s="328"/>
      <c r="C21" s="327"/>
      <c r="D21" s="327"/>
      <c r="E21" s="327"/>
      <c r="F21" s="327"/>
      <c r="G21" s="327"/>
      <c r="H21" s="327"/>
      <c r="I21" s="327"/>
      <c r="J21" s="327"/>
      <c r="K21" s="327"/>
      <c r="L21" s="327"/>
      <c r="M21" s="327"/>
      <c r="N21" s="327"/>
      <c r="O21" s="327"/>
      <c r="P21" s="327"/>
      <c r="Q21" s="327"/>
      <c r="R21" s="327"/>
      <c r="S21" s="332"/>
      <c r="T21" s="498"/>
      <c r="U21" s="67"/>
      <c r="V21" s="330"/>
    </row>
    <row r="22" spans="1:22" s="232" customFormat="1" ht="24" customHeight="1">
      <c r="A22" s="468"/>
      <c r="B22" s="328"/>
      <c r="C22" s="632" t="s">
        <v>725</v>
      </c>
      <c r="D22" s="626"/>
      <c r="E22" s="626"/>
      <c r="F22" s="626"/>
      <c r="G22" s="626"/>
      <c r="H22" s="626"/>
      <c r="I22" s="626"/>
      <c r="J22" s="626"/>
      <c r="K22" s="626"/>
      <c r="L22" s="626"/>
      <c r="M22" s="626"/>
      <c r="N22" s="626"/>
      <c r="O22" s="626"/>
      <c r="P22" s="626"/>
      <c r="Q22" s="626"/>
      <c r="R22" s="627"/>
      <c r="S22" s="332"/>
      <c r="T22" s="498"/>
      <c r="U22" s="67"/>
      <c r="V22" s="330"/>
    </row>
    <row r="23" spans="1:22" s="232" customFormat="1" ht="37.950000000000003" customHeight="1">
      <c r="A23" s="468"/>
      <c r="B23" s="328"/>
      <c r="C23" s="633" t="s">
        <v>735</v>
      </c>
      <c r="D23" s="631" t="s">
        <v>734</v>
      </c>
      <c r="E23" s="631" t="s">
        <v>736</v>
      </c>
      <c r="F23" s="920" t="s">
        <v>739</v>
      </c>
      <c r="G23" s="921"/>
      <c r="H23" s="921"/>
      <c r="I23" s="921"/>
      <c r="J23" s="921"/>
      <c r="K23" s="921"/>
      <c r="L23" s="921"/>
      <c r="M23" s="921"/>
      <c r="N23" s="921"/>
      <c r="O23" s="921"/>
      <c r="P23" s="921"/>
      <c r="Q23" s="921"/>
      <c r="R23" s="922"/>
      <c r="S23" s="332"/>
      <c r="T23" s="498"/>
      <c r="U23" s="67"/>
      <c r="V23" s="330"/>
    </row>
    <row r="24" spans="1:22" s="232" customFormat="1" ht="34.950000000000003" customHeight="1">
      <c r="A24" s="468"/>
      <c r="B24" s="328"/>
      <c r="C24" s="634" t="s">
        <v>726</v>
      </c>
      <c r="D24" s="629" t="s">
        <v>737</v>
      </c>
      <c r="E24" s="630">
        <v>5</v>
      </c>
      <c r="F24" s="923" t="s">
        <v>731</v>
      </c>
      <c r="G24" s="924"/>
      <c r="H24" s="924"/>
      <c r="I24" s="924"/>
      <c r="J24" s="924"/>
      <c r="K24" s="924"/>
      <c r="L24" s="924"/>
      <c r="M24" s="924"/>
      <c r="N24" s="924"/>
      <c r="O24" s="924"/>
      <c r="P24" s="924"/>
      <c r="Q24" s="924"/>
      <c r="R24" s="925"/>
      <c r="S24" s="332"/>
      <c r="T24" s="498"/>
      <c r="U24" s="67"/>
      <c r="V24" s="330"/>
    </row>
    <row r="25" spans="1:22" s="232" customFormat="1" ht="47.4" customHeight="1">
      <c r="A25" s="468"/>
      <c r="B25" s="328"/>
      <c r="C25" s="634" t="s">
        <v>727</v>
      </c>
      <c r="D25" s="630">
        <v>2006</v>
      </c>
      <c r="E25" s="630">
        <v>5</v>
      </c>
      <c r="F25" s="923" t="s">
        <v>732</v>
      </c>
      <c r="G25" s="924"/>
      <c r="H25" s="924"/>
      <c r="I25" s="924"/>
      <c r="J25" s="924"/>
      <c r="K25" s="924"/>
      <c r="L25" s="924"/>
      <c r="M25" s="924"/>
      <c r="N25" s="924"/>
      <c r="O25" s="924"/>
      <c r="P25" s="924"/>
      <c r="Q25" s="924"/>
      <c r="R25" s="925"/>
      <c r="S25" s="332"/>
      <c r="T25" s="498"/>
      <c r="U25" s="67"/>
      <c r="V25" s="330"/>
    </row>
    <row r="26" spans="1:22" s="232" customFormat="1" ht="59.4" customHeight="1">
      <c r="A26" s="468"/>
      <c r="B26" s="328"/>
      <c r="C26" s="634" t="s">
        <v>728</v>
      </c>
      <c r="D26" s="630">
        <v>2007</v>
      </c>
      <c r="E26" s="630">
        <v>7</v>
      </c>
      <c r="F26" s="923" t="s">
        <v>733</v>
      </c>
      <c r="G26" s="924"/>
      <c r="H26" s="924"/>
      <c r="I26" s="924"/>
      <c r="J26" s="924"/>
      <c r="K26" s="924"/>
      <c r="L26" s="924"/>
      <c r="M26" s="924"/>
      <c r="N26" s="924"/>
      <c r="O26" s="924"/>
      <c r="P26" s="924"/>
      <c r="Q26" s="924"/>
      <c r="R26" s="925"/>
      <c r="S26" s="332"/>
      <c r="T26" s="498"/>
      <c r="U26" s="67"/>
      <c r="V26" s="330"/>
    </row>
    <row r="27" spans="1:22" s="232" customFormat="1" ht="137.4" customHeight="1">
      <c r="A27" s="468"/>
      <c r="B27" s="328"/>
      <c r="C27" s="634" t="s">
        <v>729</v>
      </c>
      <c r="D27" s="630">
        <v>2010</v>
      </c>
      <c r="E27" s="630">
        <v>10</v>
      </c>
      <c r="F27" s="923" t="s">
        <v>741</v>
      </c>
      <c r="G27" s="924"/>
      <c r="H27" s="924"/>
      <c r="I27" s="924"/>
      <c r="J27" s="924"/>
      <c r="K27" s="924"/>
      <c r="L27" s="924"/>
      <c r="M27" s="924"/>
      <c r="N27" s="924"/>
      <c r="O27" s="924"/>
      <c r="P27" s="924"/>
      <c r="Q27" s="924"/>
      <c r="R27" s="925"/>
      <c r="S27" s="332"/>
      <c r="T27" s="498"/>
      <c r="U27" s="67"/>
      <c r="V27" s="330"/>
    </row>
    <row r="28" spans="1:22" s="232" customFormat="1" ht="110.4" customHeight="1" thickBot="1">
      <c r="A28" s="468"/>
      <c r="B28" s="328"/>
      <c r="C28" s="635" t="s">
        <v>730</v>
      </c>
      <c r="D28" s="636">
        <v>2014</v>
      </c>
      <c r="E28" s="636">
        <v>12</v>
      </c>
      <c r="F28" s="917" t="s">
        <v>738</v>
      </c>
      <c r="G28" s="918"/>
      <c r="H28" s="918"/>
      <c r="I28" s="918"/>
      <c r="J28" s="918"/>
      <c r="K28" s="918"/>
      <c r="L28" s="918"/>
      <c r="M28" s="918"/>
      <c r="N28" s="918"/>
      <c r="O28" s="918"/>
      <c r="P28" s="918"/>
      <c r="Q28" s="918"/>
      <c r="R28" s="919"/>
      <c r="S28" s="332"/>
      <c r="T28" s="498"/>
      <c r="U28" s="67"/>
      <c r="V28" s="330"/>
    </row>
    <row r="29" spans="1:22" ht="6" customHeight="1" thickBot="1">
      <c r="A29" s="492"/>
      <c r="B29" s="311"/>
      <c r="C29" s="318"/>
      <c r="D29" s="318"/>
      <c r="E29" s="318"/>
      <c r="F29" s="318"/>
      <c r="G29" s="318"/>
      <c r="H29" s="318"/>
      <c r="I29" s="318"/>
      <c r="J29" s="318"/>
      <c r="K29" s="318"/>
      <c r="L29" s="318"/>
      <c r="M29" s="318"/>
      <c r="N29" s="318"/>
      <c r="O29" s="318"/>
      <c r="P29" s="318"/>
      <c r="Q29" s="318"/>
      <c r="R29" s="318"/>
      <c r="S29" s="315"/>
      <c r="T29" s="496"/>
      <c r="U29" s="60"/>
    </row>
    <row r="30" spans="1:22" ht="6" customHeight="1" thickTop="1">
      <c r="A30" s="492"/>
      <c r="B30" s="492"/>
      <c r="C30" s="493"/>
      <c r="D30" s="493"/>
      <c r="E30" s="493"/>
      <c r="F30" s="493"/>
      <c r="G30" s="493"/>
      <c r="H30" s="493"/>
      <c r="I30" s="493"/>
      <c r="J30" s="493"/>
      <c r="K30" s="493"/>
      <c r="L30" s="493"/>
      <c r="M30" s="493"/>
      <c r="N30" s="493"/>
      <c r="O30" s="493"/>
      <c r="P30" s="493"/>
      <c r="Q30" s="493"/>
      <c r="R30" s="493"/>
      <c r="S30" s="494"/>
      <c r="T30" s="493"/>
    </row>
    <row r="31" spans="1:22" ht="13.8" hidden="1"/>
    <row r="32" spans="1:22" ht="13.8" hidden="1"/>
    <row r="33" ht="13.8" hidden="1"/>
    <row r="34" ht="13.8" hidden="1"/>
    <row r="35" ht="13.8" hidden="1"/>
    <row r="36" ht="13.8" hidden="1"/>
    <row r="37" ht="13.8" hidden="1"/>
    <row r="38" ht="13.8" hidden="1"/>
    <row r="39" ht="13.8" hidden="1"/>
    <row r="40" ht="13.8" hidden="1"/>
    <row r="41" ht="13.8" hidden="1"/>
    <row r="42" ht="13.8" hidden="1"/>
    <row r="43" ht="13.8" hidden="1"/>
    <row r="44" ht="13.8" hidden="1"/>
    <row r="45" ht="13.8" hidden="1"/>
    <row r="46" ht="13.8" hidden="1"/>
    <row r="47" ht="13.8" hidden="1"/>
    <row r="48" ht="13.8" hidden="1"/>
    <row r="49" ht="13.8" hidden="1"/>
    <row r="50" ht="13.8" hidden="1"/>
    <row r="51" ht="13.8" hidden="1"/>
    <row r="52" ht="13.8" hidden="1"/>
    <row r="53" ht="13.8" hidden="1"/>
    <row r="54" ht="13.8" hidden="1"/>
    <row r="55" ht="13.8" hidden="1"/>
    <row r="56" ht="13.8" hidden="1"/>
    <row r="57" ht="13.8" hidden="1"/>
    <row r="58" ht="13.8" hidden="1"/>
    <row r="59" ht="13.8" hidden="1"/>
    <row r="60" ht="13.8" hidden="1"/>
    <row r="61" ht="13.8" hidden="1"/>
    <row r="62" ht="13.8" hidden="1"/>
    <row r="63" ht="13.8" hidden="1"/>
    <row r="64" ht="13.8" hidden="1"/>
    <row r="65" ht="13.8" hidden="1"/>
    <row r="66" ht="13.8" hidden="1"/>
    <row r="67" ht="13.8" hidden="1"/>
    <row r="68" ht="13.8" hidden="1"/>
    <row r="69" ht="13.8" hidden="1"/>
    <row r="70" ht="13.8" hidden="1"/>
    <row r="71" ht="13.8" hidden="1"/>
    <row r="72" ht="13.8" hidden="1"/>
    <row r="73" ht="13.8" hidden="1"/>
    <row r="74" ht="13.8" hidden="1"/>
    <row r="75" ht="13.8" hidden="1"/>
    <row r="76" ht="13.8" hidden="1"/>
    <row r="77" ht="13.8" hidden="1"/>
    <row r="78" ht="13.8" hidden="1"/>
    <row r="79" ht="13.8" hidden="1"/>
    <row r="80" ht="13.8" hidden="1"/>
    <row r="81" ht="13.8" hidden="1"/>
    <row r="82" ht="13.8" hidden="1"/>
    <row r="83" ht="13.8" hidden="1"/>
    <row r="84" ht="13.8" hidden="1"/>
    <row r="85" ht="13.8" hidden="1"/>
    <row r="86" ht="13.8" hidden="1"/>
    <row r="87" ht="13.8" hidden="1"/>
    <row r="88" ht="13.8" hidden="1"/>
    <row r="89" ht="13.8" hidden="1"/>
    <row r="90" ht="13.8" hidden="1"/>
    <row r="91" ht="13.8" hidden="1"/>
    <row r="92" ht="13.8" hidden="1"/>
    <row r="93" ht="13.5" hidden="1" customHeight="1"/>
  </sheetData>
  <sheetProtection password="8B16" sheet="1" objects="1" scenarios="1" selectLockedCells="1"/>
  <mergeCells count="11">
    <mergeCell ref="F28:R28"/>
    <mergeCell ref="F23:R23"/>
    <mergeCell ref="F24:R24"/>
    <mergeCell ref="F25:R25"/>
    <mergeCell ref="F26:R26"/>
    <mergeCell ref="F27:R27"/>
    <mergeCell ref="D19:R19"/>
    <mergeCell ref="D20:R20"/>
    <mergeCell ref="C4:R4"/>
    <mergeCell ref="C6:R6"/>
    <mergeCell ref="B2:S2"/>
  </mergeCells>
  <phoneticPr fontId="0" type="noConversion"/>
  <printOptions horizontalCentered="1" verticalCentered="1"/>
  <pageMargins left="0.25" right="0.25" top="0.75" bottom="0.75" header="0.3" footer="0.3"/>
  <pageSetup scale="78" orientation="landscape" horizontalDpi="1200" r:id="rId1"/>
  <headerFooter alignWithMargins="0">
    <oddFooter>&amp;CAWWA Free Water Audit Software v5.0&amp;R&amp;A     &amp;P</oddFooter>
  </headerFooter>
  <rowBreaks count="1" manualBreakCount="1">
    <brk id="20" max="16383" man="1"/>
  </row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5"/>
  <dimension ref="A1:P99"/>
  <sheetViews>
    <sheetView topLeftCell="A71" workbookViewId="0">
      <selection activeCell="C102" sqref="C102"/>
    </sheetView>
  </sheetViews>
  <sheetFormatPr defaultColWidth="9.109375" defaultRowHeight="13.2"/>
  <cols>
    <col min="1" max="1" width="32.33203125" style="13" customWidth="1"/>
    <col min="2" max="2" width="20.33203125" style="13" customWidth="1"/>
    <col min="3" max="3" width="23.33203125" style="13" bestFit="1" customWidth="1"/>
    <col min="4" max="4" width="12.5546875" style="13" bestFit="1" customWidth="1"/>
    <col min="5" max="5" width="12" style="13" bestFit="1" customWidth="1"/>
    <col min="6" max="6" width="15.6640625" style="13" customWidth="1"/>
    <col min="7" max="7" width="16.88671875" style="13" customWidth="1"/>
    <col min="8" max="8" width="8.33203125" style="13" customWidth="1"/>
    <col min="9" max="9" width="33.33203125" style="13" bestFit="1" customWidth="1"/>
    <col min="10" max="10" width="4.109375" style="13" customWidth="1"/>
    <col min="11" max="11" width="9" style="13" customWidth="1"/>
    <col min="12" max="13" width="33.33203125" style="13" bestFit="1" customWidth="1"/>
    <col min="14" max="14" width="18.88671875" style="13" bestFit="1" customWidth="1"/>
    <col min="15" max="15" width="33.33203125" style="13" bestFit="1" customWidth="1"/>
    <col min="16" max="16384" width="9.109375" style="13"/>
  </cols>
  <sheetData>
    <row r="1" spans="1:16">
      <c r="A1" s="12"/>
      <c r="B1" s="12" t="s">
        <v>27</v>
      </c>
      <c r="C1" s="12" t="s">
        <v>188</v>
      </c>
      <c r="D1" s="12" t="s">
        <v>253</v>
      </c>
      <c r="F1" s="23" t="s">
        <v>215</v>
      </c>
      <c r="G1" s="24"/>
      <c r="M1" s="36" t="s">
        <v>231</v>
      </c>
      <c r="N1" s="12" t="s">
        <v>55</v>
      </c>
      <c r="O1" s="12" t="s">
        <v>53</v>
      </c>
      <c r="P1" s="12" t="s">
        <v>54</v>
      </c>
    </row>
    <row r="2" spans="1:16">
      <c r="A2" s="12" t="s">
        <v>55</v>
      </c>
      <c r="B2" s="25">
        <f>1000000/(F2*100)</f>
        <v>1336.8055610095364</v>
      </c>
      <c r="C2" s="25">
        <v>1000</v>
      </c>
      <c r="D2" s="25">
        <f>1000/F5</f>
        <v>3785.4117999999999</v>
      </c>
      <c r="E2" s="14"/>
      <c r="F2" s="33">
        <v>7.4805194500000001</v>
      </c>
      <c r="G2" s="21" t="s">
        <v>212</v>
      </c>
      <c r="H2" s="13" t="s">
        <v>216</v>
      </c>
      <c r="M2" s="12" t="s">
        <v>55</v>
      </c>
      <c r="N2" s="25">
        <v>1</v>
      </c>
      <c r="O2" s="25">
        <f>F4</f>
        <v>3.7854117999999999</v>
      </c>
      <c r="P2" s="37">
        <v>3.068883289737228</v>
      </c>
    </row>
    <row r="3" spans="1:16">
      <c r="A3" s="12" t="s">
        <v>53</v>
      </c>
      <c r="B3" s="25">
        <f>1000000/F4/(F2*100)</f>
        <v>353.14666716301156</v>
      </c>
      <c r="C3" s="25">
        <f>1000/F4</f>
        <v>264.17205124155845</v>
      </c>
      <c r="D3" s="25">
        <v>1000</v>
      </c>
      <c r="F3" s="26">
        <v>43560</v>
      </c>
      <c r="G3" s="21" t="s">
        <v>217</v>
      </c>
      <c r="H3" s="15"/>
      <c r="M3" s="12" t="s">
        <v>53</v>
      </c>
      <c r="N3" s="25">
        <f>1/O2</f>
        <v>0.26417205124155846</v>
      </c>
      <c r="O3" s="25">
        <v>1</v>
      </c>
      <c r="P3" s="25">
        <v>0.8107131936708255</v>
      </c>
    </row>
    <row r="4" spans="1:16">
      <c r="A4" s="12" t="s">
        <v>54</v>
      </c>
      <c r="B4" s="25">
        <f>F3/100</f>
        <v>435.6</v>
      </c>
      <c r="C4" s="25">
        <f>F3*F2/1000</f>
        <v>325.851427242</v>
      </c>
      <c r="D4" s="25">
        <f>F3*F2*F4/1000</f>
        <v>1233.4818377287083</v>
      </c>
      <c r="F4" s="32">
        <v>3.7854117999999999</v>
      </c>
      <c r="G4" s="21" t="s">
        <v>214</v>
      </c>
      <c r="H4" s="15"/>
      <c r="M4" s="12" t="s">
        <v>54</v>
      </c>
      <c r="N4" s="37">
        <f>325851.427242/1000000</f>
        <v>0.325851427242</v>
      </c>
      <c r="O4" s="25">
        <v>1.2334818377287082</v>
      </c>
      <c r="P4" s="25">
        <v>1</v>
      </c>
    </row>
    <row r="5" spans="1:16">
      <c r="F5" s="31">
        <f>1/F4</f>
        <v>0.26417205124155846</v>
      </c>
      <c r="G5" s="22" t="s">
        <v>213</v>
      </c>
      <c r="H5" s="15"/>
    </row>
    <row r="6" spans="1:16" ht="13.8" thickBot="1">
      <c r="H6" s="15"/>
    </row>
    <row r="7" spans="1:16" ht="13.8" thickBot="1">
      <c r="A7" s="15" t="s">
        <v>250</v>
      </c>
      <c r="B7" s="16">
        <v>1</v>
      </c>
      <c r="C7" s="13" t="s">
        <v>187</v>
      </c>
      <c r="D7" s="13">
        <f>MATCH(C7,A2:A4,0)</f>
        <v>1</v>
      </c>
      <c r="H7" s="15"/>
    </row>
    <row r="8" spans="1:16" ht="13.8" thickBot="1">
      <c r="A8" s="15"/>
      <c r="E8" s="13">
        <f>INDEX($B$2:$D$4,MATCH(C7,A2:A4,0),MATCH(C9,B1:D1,0))</f>
        <v>1336.8055610095364</v>
      </c>
      <c r="H8" s="15"/>
    </row>
    <row r="9" spans="1:16" ht="13.8" thickBot="1">
      <c r="A9" s="15" t="s">
        <v>251</v>
      </c>
      <c r="B9" s="17">
        <v>10</v>
      </c>
      <c r="C9" s="13" t="s">
        <v>27</v>
      </c>
      <c r="D9" s="13">
        <f>MATCH(C9,B1:D1,0)</f>
        <v>1</v>
      </c>
      <c r="H9" s="15"/>
    </row>
    <row r="11" spans="1:16">
      <c r="B11" s="15" t="s">
        <v>252</v>
      </c>
      <c r="C11" s="18">
        <f>B7*B9*E8</f>
        <v>13368.055610095364</v>
      </c>
      <c r="I11" s="13" t="s">
        <v>230</v>
      </c>
    </row>
    <row r="12" spans="1:16">
      <c r="G12" s="13" t="s">
        <v>208</v>
      </c>
      <c r="I12" s="35" t="s">
        <v>227</v>
      </c>
      <c r="J12" s="35"/>
      <c r="K12" s="12"/>
      <c r="L12" s="35" t="s">
        <v>228</v>
      </c>
    </row>
    <row r="13" spans="1:16" ht="15.6">
      <c r="G13" s="13" t="s">
        <v>207</v>
      </c>
      <c r="H13" s="39">
        <v>547500</v>
      </c>
      <c r="I13" s="34" t="s">
        <v>229</v>
      </c>
      <c r="J13" s="38" t="s">
        <v>232</v>
      </c>
      <c r="K13" s="13">
        <f>H13*INDEX(N2:P4,MATCH(I13,M2:M4,0),MATCH(L13,N1:P1,0))</f>
        <v>2072512.9605</v>
      </c>
      <c r="L13" s="34" t="s">
        <v>53</v>
      </c>
    </row>
    <row r="14" spans="1:16">
      <c r="K14" s="14"/>
    </row>
    <row r="15" spans="1:16">
      <c r="B15" s="13" t="s">
        <v>257</v>
      </c>
      <c r="H15" s="384"/>
    </row>
    <row r="16" spans="1:16">
      <c r="B16" s="12" t="s">
        <v>27</v>
      </c>
      <c r="C16" s="12" t="s">
        <v>188</v>
      </c>
      <c r="D16" s="12" t="s">
        <v>253</v>
      </c>
      <c r="H16" s="13">
        <f>1500000000/1000000*365</f>
        <v>547500</v>
      </c>
      <c r="I16" s="384" t="s">
        <v>361</v>
      </c>
    </row>
    <row r="17" spans="1:5">
      <c r="A17" s="12" t="s">
        <v>187</v>
      </c>
      <c r="B17" s="13">
        <f>1000000/(7.48*100)</f>
        <v>1336.8983957219252</v>
      </c>
      <c r="C17" s="13">
        <v>1000</v>
      </c>
      <c r="D17" s="13">
        <f>1000000/CONVERT(1000,"l","gal")</f>
        <v>3785.4117839999994</v>
      </c>
    </row>
    <row r="18" spans="1:5">
      <c r="A18" s="12" t="s">
        <v>209</v>
      </c>
      <c r="B18" s="13">
        <f>1000000/CONVERT((7.48*100),"gal","l")</f>
        <v>353.171192992177</v>
      </c>
      <c r="C18" s="13">
        <f>1000000/CONVERT(1000,"gal","l")</f>
        <v>264.17205235814845</v>
      </c>
      <c r="D18" s="13">
        <v>1000</v>
      </c>
    </row>
    <row r="19" spans="1:5">
      <c r="A19" s="12" t="s">
        <v>117</v>
      </c>
      <c r="B19" s="13">
        <f>43560/100</f>
        <v>435.6</v>
      </c>
      <c r="C19" s="13">
        <f>43560/(1000/7.48)</f>
        <v>325.8288</v>
      </c>
      <c r="D19" s="13">
        <f>F3/(CONVERT(1000,"l","gal")/F2)</f>
        <v>1233.4818325150852</v>
      </c>
    </row>
    <row r="21" spans="1:5" ht="13.8" thickBot="1"/>
    <row r="22" spans="1:5" ht="13.8" thickBot="1">
      <c r="A22" s="15" t="s">
        <v>257</v>
      </c>
      <c r="B22" s="16">
        <v>5</v>
      </c>
      <c r="C22" s="13" t="s">
        <v>188</v>
      </c>
      <c r="D22" s="13">
        <f>MATCH(C22,B16:D16,0)</f>
        <v>2</v>
      </c>
    </row>
    <row r="23" spans="1:5" ht="13.8" thickBot="1">
      <c r="A23" s="15"/>
      <c r="E23" s="13">
        <f>INDEX($B$2:$D$4,MATCH(C24,A2:A4,0),MATCH(C22,B1:D1,0))</f>
        <v>1000</v>
      </c>
    </row>
    <row r="24" spans="1:5" ht="13.8" thickBot="1">
      <c r="A24" s="15" t="s">
        <v>258</v>
      </c>
      <c r="B24" s="17">
        <v>5000</v>
      </c>
      <c r="C24" s="13" t="s">
        <v>187</v>
      </c>
      <c r="D24" s="13">
        <f>MATCH(C24,A17:A19,0)</f>
        <v>1</v>
      </c>
    </row>
    <row r="26" spans="1:5">
      <c r="B26" s="15" t="s">
        <v>252</v>
      </c>
      <c r="C26" s="19">
        <f>(B22*E23)/B24</f>
        <v>1</v>
      </c>
    </row>
    <row r="27" spans="1:5">
      <c r="C27" s="13" t="s">
        <v>25</v>
      </c>
    </row>
    <row r="28" spans="1:5">
      <c r="C28" s="13" t="s">
        <v>26</v>
      </c>
    </row>
    <row r="31" spans="1:5">
      <c r="A31" s="14" t="s">
        <v>211</v>
      </c>
    </row>
    <row r="33" spans="1:2">
      <c r="B33" s="13" t="s">
        <v>203</v>
      </c>
    </row>
    <row r="37" spans="1:2">
      <c r="A37" s="14" t="s">
        <v>226</v>
      </c>
    </row>
    <row r="38" spans="1:2">
      <c r="A38" s="27" t="s">
        <v>194</v>
      </c>
    </row>
    <row r="39" spans="1:2">
      <c r="A39" s="13" t="s">
        <v>198</v>
      </c>
    </row>
    <row r="40" spans="1:2">
      <c r="A40" s="13" t="s">
        <v>218</v>
      </c>
    </row>
    <row r="42" spans="1:2">
      <c r="A42" s="30" t="s">
        <v>219</v>
      </c>
    </row>
    <row r="43" spans="1:2">
      <c r="A43" s="30" t="s">
        <v>220</v>
      </c>
    </row>
    <row r="44" spans="1:2">
      <c r="A44" s="30" t="s">
        <v>197</v>
      </c>
    </row>
    <row r="45" spans="1:2">
      <c r="A45" s="30" t="s">
        <v>192</v>
      </c>
    </row>
    <row r="47" spans="1:2">
      <c r="A47" s="28" t="s">
        <v>193</v>
      </c>
    </row>
    <row r="48" spans="1:2">
      <c r="A48" s="28" t="s">
        <v>195</v>
      </c>
    </row>
    <row r="49" spans="1:1">
      <c r="A49" s="28" t="s">
        <v>196</v>
      </c>
    </row>
    <row r="50" spans="1:1">
      <c r="A50" s="28" t="s">
        <v>192</v>
      </c>
    </row>
    <row r="52" spans="1:1">
      <c r="A52" s="29" t="s">
        <v>199</v>
      </c>
    </row>
    <row r="53" spans="1:1">
      <c r="A53" s="29" t="s">
        <v>195</v>
      </c>
    </row>
    <row r="54" spans="1:1">
      <c r="A54" s="29" t="s">
        <v>196</v>
      </c>
    </row>
    <row r="55" spans="1:1">
      <c r="A55" s="29" t="s">
        <v>192</v>
      </c>
    </row>
    <row r="75" spans="1:6">
      <c r="A75" s="13" t="s">
        <v>722</v>
      </c>
    </row>
    <row r="76" spans="1:6">
      <c r="A76" s="625" t="str">
        <f>IF('Performance Indicators'!R21=FALSE,"Var. Prod. Cost","Cust.Ret.Unit Cost")</f>
        <v>Var. Prod. Cost</v>
      </c>
    </row>
    <row r="77" spans="1:6">
      <c r="A77" s="14" t="s">
        <v>723</v>
      </c>
    </row>
    <row r="78" spans="1:6">
      <c r="A78" s="384" t="s">
        <v>355</v>
      </c>
    </row>
    <row r="79" spans="1:6" ht="13.8">
      <c r="B79" s="97"/>
      <c r="C79" s="97"/>
      <c r="D79" s="97"/>
      <c r="E79" s="97" t="str">
        <f>IF(Dashboard!S6=1,"Total Volume of NRW = ","Total Cost of NRW =$")&amp;IF(Dashboard!S6=1,TEXT(SUM(C90,C91,C94,C95,C96,C98),"#,###")&amp;" "&amp;'Reporting Worksheet'!I15,TEXT(SUM(D90,D91,D94,D95,D96,D98),"#,###"))</f>
        <v>Total Cost of NRW =$104,884</v>
      </c>
      <c r="F79" s="97"/>
    </row>
    <row r="80" spans="1:6">
      <c r="A80" s="96"/>
      <c r="B80" s="96"/>
      <c r="C80" s="98" t="str">
        <f>"Volume ("&amp;'Reporting Worksheet'!I15&amp;")"</f>
        <v>Volume (MG/Yr)</v>
      </c>
      <c r="D80" s="98" t="s">
        <v>350</v>
      </c>
      <c r="E80" s="375" t="str">
        <f ca="1">OFFSET(B80,0,Dashboard!$S$6)</f>
        <v xml:space="preserve">          Cost $</v>
      </c>
      <c r="F80" s="96"/>
    </row>
    <row r="81" spans="1:6">
      <c r="A81" s="99" t="s">
        <v>289</v>
      </c>
      <c r="B81" s="99"/>
      <c r="C81" s="576">
        <f>'Reporting Worksheet'!G15</f>
        <v>0</v>
      </c>
      <c r="D81" s="577">
        <f>C81*('Reporting Worksheet'!$G$78)</f>
        <v>0</v>
      </c>
      <c r="E81" s="576">
        <f ca="1">OFFSET(B81,0,Dashboard!$S$6)</f>
        <v>0</v>
      </c>
      <c r="F81" s="96"/>
    </row>
    <row r="82" spans="1:6">
      <c r="A82" s="99" t="str">
        <f>A81&amp;" MA"</f>
        <v>Vol. from own sources: MA</v>
      </c>
      <c r="B82" s="99"/>
      <c r="C82" s="576">
        <f>'Reporting Worksheet'!S15</f>
        <v>0</v>
      </c>
      <c r="D82" s="577">
        <f>C82*('Reporting Worksheet'!$G$78)</f>
        <v>0</v>
      </c>
      <c r="E82" s="576">
        <f ca="1">OFFSET(B82,0,Dashboard!$S$6)</f>
        <v>0</v>
      </c>
      <c r="F82" s="96"/>
    </row>
    <row r="83" spans="1:6">
      <c r="A83" s="96" t="s">
        <v>4</v>
      </c>
      <c r="B83" s="96"/>
      <c r="C83" s="576">
        <f>'Reporting Worksheet'!G16</f>
        <v>110</v>
      </c>
      <c r="D83" s="577">
        <f>C83*('Reporting Worksheet'!$G$78)</f>
        <v>440000</v>
      </c>
      <c r="E83" s="576">
        <f ca="1">OFFSET(B83,0,Dashboard!$S$6)</f>
        <v>440000</v>
      </c>
      <c r="F83" s="96"/>
    </row>
    <row r="84" spans="1:6">
      <c r="A84" s="96" t="str">
        <f>A83&amp;" MA"</f>
        <v>Water imported: MA</v>
      </c>
      <c r="B84" s="96"/>
      <c r="C84" s="576">
        <f>'Reporting Worksheet'!S16</f>
        <v>1.1000000000000001</v>
      </c>
      <c r="D84" s="577">
        <f>C84*('Reporting Worksheet'!$G$78)</f>
        <v>4400</v>
      </c>
      <c r="E84" s="576">
        <f ca="1">OFFSET(B84,0,Dashboard!$S$6)</f>
        <v>4400</v>
      </c>
      <c r="F84" s="96"/>
    </row>
    <row r="85" spans="1:6">
      <c r="A85" s="96" t="s">
        <v>5</v>
      </c>
      <c r="B85" s="96"/>
      <c r="C85" s="576">
        <f>'Reporting Worksheet'!G17</f>
        <v>0</v>
      </c>
      <c r="D85" s="577">
        <f>C85*('Reporting Worksheet'!$G$78)</f>
        <v>0</v>
      </c>
      <c r="E85" s="576">
        <f ca="1">OFFSET(B85,0,Dashboard!$S$6)</f>
        <v>0</v>
      </c>
      <c r="F85" s="96"/>
    </row>
    <row r="86" spans="1:6">
      <c r="A86" s="96" t="str">
        <f>A85&amp;" MA"</f>
        <v>Water exported: MA</v>
      </c>
      <c r="B86" s="96"/>
      <c r="C86" s="576">
        <f>'Reporting Worksheet'!S17</f>
        <v>0</v>
      </c>
      <c r="D86" s="577">
        <f>C86*('Reporting Worksheet'!$G$78)</f>
        <v>0</v>
      </c>
      <c r="E86" s="576">
        <f ca="1">OFFSET(B86,0,Dashboard!$S$6)</f>
        <v>0</v>
      </c>
      <c r="F86" s="96"/>
    </row>
    <row r="87" spans="1:6">
      <c r="A87" s="96" t="s">
        <v>245</v>
      </c>
      <c r="B87" s="96"/>
      <c r="C87" s="576">
        <f>'Reporting Worksheet'!G19</f>
        <v>108.91089108910892</v>
      </c>
      <c r="D87" s="577">
        <f>C87*('Reporting Worksheet'!$G$78)</f>
        <v>435643.56435643567</v>
      </c>
      <c r="E87" s="576">
        <f ca="1">OFFSET(B87,0,Dashboard!$S$6)</f>
        <v>435643.56435643567</v>
      </c>
      <c r="F87" s="96"/>
    </row>
    <row r="88" spans="1:6">
      <c r="A88" s="96" t="s">
        <v>132</v>
      </c>
      <c r="B88" s="96"/>
      <c r="C88" s="576">
        <f>'Reporting Worksheet'!G23</f>
        <v>90</v>
      </c>
      <c r="D88" s="577">
        <f>C88*('Reporting Worksheet'!$G$77*1000)</f>
        <v>675000</v>
      </c>
      <c r="E88" s="576">
        <f ca="1">OFFSET(B88,0,Dashboard!$S$6)</f>
        <v>675000</v>
      </c>
      <c r="F88" s="96"/>
    </row>
    <row r="89" spans="1:6">
      <c r="A89" s="96" t="s">
        <v>133</v>
      </c>
      <c r="B89" s="96"/>
      <c r="C89" s="576">
        <f>'Reporting Worksheet'!G24</f>
        <v>1</v>
      </c>
      <c r="D89" s="577">
        <f>C89*('Reporting Worksheet'!$G$77*1000)</f>
        <v>7500</v>
      </c>
      <c r="E89" s="576">
        <f ca="1">OFFSET(B89,0,Dashboard!$S$6)</f>
        <v>7500</v>
      </c>
      <c r="F89" s="96"/>
    </row>
    <row r="90" spans="1:6">
      <c r="A90" s="374" t="str">
        <f>"Unbilled metered (valued at "&amp;A76&amp;")"</f>
        <v>Unbilled metered (valued at Var. Prod. Cost)</v>
      </c>
      <c r="B90" s="96"/>
      <c r="C90" s="658">
        <f>'Reporting Worksheet'!G25</f>
        <v>1</v>
      </c>
      <c r="D90" s="659">
        <f>IF(ISBLANK(Instructions!D34),"",IF(ISBLANK('Reporting Worksheet'!G78),"",'Reporting Worksheet'!G25*(IF('Performance Indicators'!R21=FALSE,'Reporting Worksheet'!G78,IF('Performance Indicators'!R21=TRUE,'Reporting Worksheet'!G77*INDEX(Sheet1!B2:D4,MATCH(Instructions!D34,Sheet1!A2:A4,0),MATCH('Reporting Worksheet'!I77,Sheet1!B1:D1,0)),"")))))</f>
        <v>4000</v>
      </c>
      <c r="E90" s="658">
        <f ca="1">OFFSET(B90,0,Dashboard!$S$6)</f>
        <v>4000</v>
      </c>
      <c r="F90" s="96"/>
    </row>
    <row r="91" spans="1:6">
      <c r="A91" s="374" t="str">
        <f>"Unbilled unmetered (valued at "&amp;A76&amp;")"</f>
        <v>Unbilled unmetered (valued at Var. Prod. Cost)</v>
      </c>
      <c r="B91" s="96"/>
      <c r="C91" s="658">
        <f>'Reporting Worksheet'!G26</f>
        <v>1.3613861386138615</v>
      </c>
      <c r="D91" s="659">
        <f>IF(ISBLANK(Instructions!D34),"",IF(ISBLANK('Reporting Worksheet'!G78),"",'Reporting Worksheet'!G26*(IF('Performance Indicators'!R21=FALSE,'Reporting Worksheet'!G78,IF('Performance Indicators'!R21=TRUE,'Reporting Worksheet'!G77*INDEX(Sheet1!B2:D4,MATCH(Instructions!D34,Sheet1!A2:A4,0),MATCH('Reporting Worksheet'!I77,Sheet1!B1:D1,0)),"")))))</f>
        <v>5445.5445544554459</v>
      </c>
      <c r="E91" s="658">
        <f ca="1">OFFSET(B91,0,Dashboard!$S$6)</f>
        <v>5445.5445544554459</v>
      </c>
      <c r="F91" s="96"/>
    </row>
    <row r="92" spans="1:6">
      <c r="A92" s="99" t="s">
        <v>290</v>
      </c>
      <c r="B92" s="628" t="s">
        <v>724</v>
      </c>
      <c r="C92" s="576">
        <f>'Reporting Worksheet'!G30</f>
        <v>93.361386138613867</v>
      </c>
      <c r="D92" s="577">
        <f>C92*('Reporting Worksheet'!$G$77*1000)</f>
        <v>700210.39603960398</v>
      </c>
      <c r="E92" s="576">
        <f ca="1">OFFSET(B92,0,Dashboard!$S$6)</f>
        <v>700210.39603960398</v>
      </c>
      <c r="F92" s="96"/>
    </row>
    <row r="93" spans="1:6">
      <c r="A93" s="96" t="s">
        <v>119</v>
      </c>
      <c r="B93" s="96"/>
      <c r="C93" s="576">
        <f>'Reporting Worksheet'!G35</f>
        <v>15.549504950495049</v>
      </c>
      <c r="D93" s="577"/>
      <c r="E93" s="576">
        <f ca="1">OFFSET(B93,0,Dashboard!$S$6)</f>
        <v>0</v>
      </c>
      <c r="F93" s="96"/>
    </row>
    <row r="94" spans="1:6">
      <c r="A94" s="374" t="s">
        <v>349</v>
      </c>
      <c r="B94" s="99"/>
      <c r="C94" s="658">
        <f>'Reporting Worksheet'!G38</f>
        <v>0.2722772277227723</v>
      </c>
      <c r="D94" s="659">
        <f>IF(ISBLANK(Instructions!D34),"",IF(ISBLANK('Reporting Worksheet'!G78),"",C94*'Reporting Worksheet'!G77*INDEX(Sheet1!B2:D4,MATCH(Instructions!D34,Sheet1!A2:A4,0),MATCH('Reporting Worksheet'!I77,Sheet1!B1:D1,0))))</f>
        <v>2042.0792079207924</v>
      </c>
      <c r="E94" s="658">
        <f ca="1">OFFSET(B94,0,Dashboard!$S$6)</f>
        <v>2042.0792079207924</v>
      </c>
      <c r="F94" s="660"/>
    </row>
    <row r="95" spans="1:6">
      <c r="A95" s="374" t="s">
        <v>348</v>
      </c>
      <c r="B95" s="99"/>
      <c r="C95" s="658">
        <f>'Reporting Worksheet'!G42</f>
        <v>9</v>
      </c>
      <c r="D95" s="659">
        <f>IF(ISBLANK(Instructions!D34),"",IF(ISBLANK('Reporting Worksheet'!G78),"",C95*'Reporting Worksheet'!G77*INDEX(Sheet1!B2:D4,MATCH(Instructions!D34,Sheet1!A2:A4,0),MATCH('Reporting Worksheet'!I77,Sheet1!B1:D1,0))))</f>
        <v>67500</v>
      </c>
      <c r="E95" s="658">
        <f ca="1">OFFSET(B95,0,Dashboard!$S$6)</f>
        <v>67500</v>
      </c>
      <c r="F95" s="660"/>
    </row>
    <row r="96" spans="1:6">
      <c r="A96" s="374" t="s">
        <v>347</v>
      </c>
      <c r="B96" s="99"/>
      <c r="C96" s="658">
        <f>'Reporting Worksheet'!G43</f>
        <v>0.22500000000000001</v>
      </c>
      <c r="D96" s="659">
        <f>IF(ISBLANK(Instructions!D34),"",IF(ISBLANK('Reporting Worksheet'!G78),"",C96*'Reporting Worksheet'!G77*INDEX(Sheet1!B2:D4,MATCH(Instructions!D34,Sheet1!A2:A4,0),MATCH('Reporting Worksheet'!I77,Sheet1!B1:D1,0))))</f>
        <v>1687.5</v>
      </c>
      <c r="E96" s="658">
        <f ca="1">OFFSET(B96,0,Dashboard!$S$6)</f>
        <v>1687.5</v>
      </c>
      <c r="F96" s="660"/>
    </row>
    <row r="97" spans="1:7">
      <c r="A97" s="96" t="s">
        <v>98</v>
      </c>
      <c r="B97" s="96"/>
      <c r="C97" s="576">
        <f>'Reporting Worksheet'!G47</f>
        <v>9.4972772277227726</v>
      </c>
      <c r="D97" s="577">
        <f>SUM(D94:D96)</f>
        <v>71229.579207920789</v>
      </c>
      <c r="E97" s="576">
        <f ca="1">OFFSET(B97,0,Dashboard!$S$6)</f>
        <v>71229.579207920789</v>
      </c>
      <c r="F97" s="96"/>
    </row>
    <row r="98" spans="1:7">
      <c r="A98" s="374" t="str">
        <f>"Real Losses (valued at "&amp;A76&amp;")"</f>
        <v>Real Losses (valued at Var. Prod. Cost)</v>
      </c>
      <c r="B98" s="99"/>
      <c r="C98" s="658">
        <f>'Reporting Worksheet'!G52</f>
        <v>6.0522277227722761</v>
      </c>
      <c r="D98" s="659">
        <f>'Performance Indicators'!I21</f>
        <v>24208.910891089105</v>
      </c>
      <c r="E98" s="658">
        <f ca="1">OFFSET(B98,0,Dashboard!$S$6)</f>
        <v>24208.910891089105</v>
      </c>
      <c r="F98" s="96"/>
    </row>
    <row r="99" spans="1:7">
      <c r="A99" s="96" t="s">
        <v>189</v>
      </c>
      <c r="B99" s="96"/>
      <c r="C99" s="576">
        <f>'Reporting Worksheet'!G58</f>
        <v>17.910891089108912</v>
      </c>
      <c r="D99" s="578">
        <f>D97+D98+D90+D91</f>
        <v>104884.03465346535</v>
      </c>
      <c r="E99" s="576">
        <f ca="1">OFFSET(B99,0,Dashboard!$S$6)</f>
        <v>104884.03465346535</v>
      </c>
      <c r="F99" s="96"/>
      <c r="G99" s="661"/>
    </row>
  </sheetData>
  <sheetProtection password="8B16" sheet="1" objects="1" scenarios="1"/>
  <phoneticPr fontId="0" type="noConversion"/>
  <dataValidations disablePrompts="1" count="3">
    <dataValidation type="list" allowBlank="1" showInputMessage="1" showErrorMessage="1" sqref="L13 I13" xr:uid="{00000000-0002-0000-0D00-000000000000}">
      <formula1>"Million Gallons (US),Megalitres (thousand cubic metres),Acre-feet"</formula1>
    </dataValidation>
    <dataValidation type="list" allowBlank="1" showInputMessage="1" showErrorMessage="1" sqref="C9 C22" xr:uid="{00000000-0002-0000-0D00-000001000000}">
      <formula1>"$/1000 gallons (US),$/1000 litres,$/100 cubic feet (ccf)"</formula1>
    </dataValidation>
    <dataValidation type="list" allowBlank="1" showInputMessage="1" showErrorMessage="1" sqref="C7 C24" xr:uid="{00000000-0002-0000-0D00-000002000000}">
      <formula1>"million gallons (US),thousand cubic meters,acre-feet"</formula1>
    </dataValidation>
  </dataValidations>
  <pageMargins left="0.75" right="0.75" top="1" bottom="1" header="0.5" footer="0.5"/>
  <pageSetup orientation="portrait" horizontalDpi="4294967293" r:id="rId1"/>
  <headerFooter alignWithMargins="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5">
    <tabColor theme="3" tint="0.79998168889431442"/>
    <pageSetUpPr fitToPage="1"/>
  </sheetPr>
  <dimension ref="A1:IU200"/>
  <sheetViews>
    <sheetView showGridLines="0" zoomScaleNormal="100" workbookViewId="0">
      <pane ySplit="6" topLeftCell="A40" activePane="bottomLeft" state="frozen"/>
      <selection activeCell="B2" sqref="B2:O2"/>
      <selection pane="bottomLeft" activeCell="G66" sqref="G66"/>
    </sheetView>
  </sheetViews>
  <sheetFormatPr defaultColWidth="0" defaultRowHeight="13.2" zeroHeight="1"/>
  <cols>
    <col min="1" max="1" width="1.109375" style="73" customWidth="1"/>
    <col min="2" max="2" width="1.88671875" style="73" customWidth="1"/>
    <col min="3" max="3" width="57.88671875" style="73" customWidth="1"/>
    <col min="4" max="4" width="7.5546875" style="73" customWidth="1"/>
    <col min="5" max="5" width="3.5546875" style="74" customWidth="1"/>
    <col min="6" max="6" width="0.6640625" style="73" customWidth="1"/>
    <col min="7" max="7" width="17.88671875" style="73" customWidth="1"/>
    <col min="8" max="8" width="0.6640625" style="73" customWidth="1"/>
    <col min="9" max="9" width="22.44140625" style="73" customWidth="1"/>
    <col min="10" max="10" width="3.5546875" style="73" customWidth="1"/>
    <col min="11" max="11" width="0.6640625" style="73" customWidth="1"/>
    <col min="12" max="12" width="7.33203125" style="73" customWidth="1"/>
    <col min="13" max="13" width="9" style="73" customWidth="1"/>
    <col min="14" max="14" width="8" style="73" customWidth="1"/>
    <col min="15" max="15" width="6" style="73" customWidth="1"/>
    <col min="16" max="16" width="8.6640625" style="73" customWidth="1"/>
    <col min="17" max="17" width="2.33203125" style="73" customWidth="1"/>
    <col min="18" max="18" width="6.6640625" style="73" hidden="1" customWidth="1"/>
    <col min="19" max="19" width="11.6640625" style="73" hidden="1" customWidth="1"/>
    <col min="20" max="20" width="12.33203125" style="73" hidden="1" customWidth="1"/>
    <col min="21" max="21" width="15.33203125" style="73" hidden="1" customWidth="1"/>
    <col min="22" max="22" width="10.109375" style="73" hidden="1" customWidth="1"/>
    <col min="23" max="24" width="8.88671875" style="73" hidden="1" customWidth="1"/>
    <col min="25" max="25" width="11.44140625" style="73" hidden="1" customWidth="1"/>
    <col min="26" max="255" width="8.88671875" style="73" hidden="1" customWidth="1"/>
    <col min="256" max="16384" width="1.33203125" style="73" hidden="1"/>
  </cols>
  <sheetData>
    <row r="1" spans="1:23" s="70" customFormat="1" ht="6.75" customHeight="1" thickBot="1">
      <c r="A1" s="283"/>
      <c r="B1" s="283"/>
      <c r="C1" s="283"/>
      <c r="D1" s="283"/>
      <c r="E1" s="380"/>
      <c r="F1" s="283"/>
      <c r="G1" s="283"/>
      <c r="H1" s="283"/>
      <c r="I1" s="283"/>
      <c r="J1" s="283"/>
      <c r="K1" s="283"/>
      <c r="L1" s="283"/>
      <c r="M1" s="283"/>
      <c r="N1" s="283"/>
      <c r="O1" s="283"/>
      <c r="P1" s="283"/>
      <c r="Q1" s="283"/>
    </row>
    <row r="2" spans="1:23" s="64" customFormat="1" ht="42" customHeight="1" thickTop="1">
      <c r="A2" s="283"/>
      <c r="B2" s="712" t="s">
        <v>315</v>
      </c>
      <c r="C2" s="713"/>
      <c r="D2" s="713"/>
      <c r="E2" s="713"/>
      <c r="F2" s="713"/>
      <c r="G2" s="713"/>
      <c r="H2" s="713"/>
      <c r="I2" s="713"/>
      <c r="J2" s="713"/>
      <c r="K2" s="713"/>
      <c r="L2" s="713"/>
      <c r="M2" s="713"/>
      <c r="N2" s="713"/>
      <c r="O2" s="713"/>
      <c r="P2" s="714"/>
      <c r="Q2" s="283"/>
    </row>
    <row r="3" spans="1:23" s="64" customFormat="1" ht="8.25" customHeight="1">
      <c r="A3" s="283"/>
      <c r="B3" s="523"/>
      <c r="C3" s="161"/>
      <c r="D3" s="162"/>
      <c r="E3" s="163"/>
      <c r="F3" s="162"/>
      <c r="G3" s="164"/>
      <c r="H3" s="164"/>
      <c r="I3" s="164"/>
      <c r="J3" s="164"/>
      <c r="K3" s="164"/>
      <c r="L3" s="164"/>
      <c r="M3" s="164"/>
      <c r="N3" s="164"/>
      <c r="O3" s="164"/>
      <c r="P3" s="524"/>
      <c r="Q3" s="283"/>
    </row>
    <row r="4" spans="1:23" s="64" customFormat="1">
      <c r="A4" s="282"/>
      <c r="B4" s="523"/>
      <c r="C4" s="225" t="s">
        <v>165</v>
      </c>
      <c r="D4" s="721" t="str">
        <f>IF(ISBLANK(Instructions!D18),"&lt;&lt; Please enter system details and contact information on the Instructions tab &gt;&gt;",Instructions!D18&amp;IF(ISBLANK(Instructions!D36),"","  ("&amp;Instructions!D36&amp;")"))</f>
        <v>XYZ Water Company  (ND123456789)</v>
      </c>
      <c r="E4" s="722"/>
      <c r="F4" s="722"/>
      <c r="G4" s="722"/>
      <c r="H4" s="722"/>
      <c r="I4" s="722"/>
      <c r="J4" s="722"/>
      <c r="K4" s="722"/>
      <c r="L4" s="722"/>
      <c r="M4" s="723"/>
      <c r="N4" s="164"/>
      <c r="O4" s="164"/>
      <c r="P4" s="524"/>
      <c r="Q4" s="283"/>
    </row>
    <row r="5" spans="1:23" s="64" customFormat="1">
      <c r="A5" s="283"/>
      <c r="B5" s="523"/>
      <c r="C5" s="225" t="s">
        <v>166</v>
      </c>
      <c r="D5" s="717">
        <f>IF(ISBLANK(Instructions!D26),"",Instructions!D26)</f>
        <v>2017</v>
      </c>
      <c r="E5" s="718"/>
      <c r="F5" s="162"/>
      <c r="G5" s="719" t="str">
        <f>IF(ISBLANK(Instructions!D26),"",IF(Instructions!E26="Calendar Year","1/"&amp;Instructions!D26&amp;" - "&amp;"12/"&amp;Instructions!D26,IF(OR(ISBLANK(Instructions!D28),ISBLANK(Instructions!D30)),"",MONTH(Instructions!D28)&amp;"/"&amp;YEAR(Instructions!D28)&amp;" - "&amp;MONTH(Instructions!D30)&amp;"/"&amp;YEAR(Instructions!D30))))</f>
        <v>1/2017 - 12/2017</v>
      </c>
      <c r="H5" s="720"/>
      <c r="I5" s="164"/>
      <c r="J5" s="164"/>
      <c r="K5" s="164"/>
      <c r="L5" s="164"/>
      <c r="M5" s="164"/>
      <c r="N5" s="164"/>
      <c r="O5" s="164"/>
      <c r="P5" s="524"/>
      <c r="Q5" s="283"/>
    </row>
    <row r="6" spans="1:23" s="64" customFormat="1" ht="3.75" customHeight="1">
      <c r="A6" s="283"/>
      <c r="B6" s="523"/>
      <c r="C6" s="165"/>
      <c r="D6" s="162"/>
      <c r="E6" s="163"/>
      <c r="F6" s="162"/>
      <c r="G6" s="164"/>
      <c r="H6" s="164"/>
      <c r="I6" s="164"/>
      <c r="J6" s="164"/>
      <c r="K6" s="164"/>
      <c r="L6" s="164"/>
      <c r="M6" s="164"/>
      <c r="N6" s="164"/>
      <c r="O6" s="164"/>
      <c r="P6" s="524"/>
      <c r="Q6" s="283"/>
    </row>
    <row r="7" spans="1:23" s="64" customFormat="1" ht="18" customHeight="1">
      <c r="A7" s="283"/>
      <c r="B7" s="523"/>
      <c r="C7" s="716"/>
      <c r="D7" s="716"/>
      <c r="E7" s="716"/>
      <c r="F7" s="716"/>
      <c r="G7" s="716"/>
      <c r="H7" s="716"/>
      <c r="I7" s="716"/>
      <c r="J7" s="716"/>
      <c r="K7" s="716"/>
      <c r="L7" s="716"/>
      <c r="M7" s="716"/>
      <c r="N7" s="716"/>
      <c r="O7" s="716"/>
      <c r="P7" s="524"/>
      <c r="Q7" s="283"/>
    </row>
    <row r="8" spans="1:23" s="64" customFormat="1" ht="13.5" customHeight="1">
      <c r="A8" s="283"/>
      <c r="B8" s="523"/>
      <c r="C8" s="716"/>
      <c r="D8" s="716"/>
      <c r="E8" s="716"/>
      <c r="F8" s="716"/>
      <c r="G8" s="716"/>
      <c r="H8" s="716"/>
      <c r="I8" s="716"/>
      <c r="J8" s="716"/>
      <c r="K8" s="716"/>
      <c r="L8" s="716"/>
      <c r="M8" s="716"/>
      <c r="N8" s="716"/>
      <c r="O8" s="716"/>
      <c r="P8" s="524"/>
      <c r="Q8" s="283"/>
    </row>
    <row r="9" spans="1:23" s="64" customFormat="1" ht="15" customHeight="1">
      <c r="A9" s="283"/>
      <c r="B9" s="523"/>
      <c r="C9" s="519"/>
      <c r="D9" s="519"/>
      <c r="E9" s="525"/>
      <c r="F9" s="519"/>
      <c r="G9" s="526" t="str">
        <f>IF(ISBLANK(Instructions!D34),"PLEASE CHOOSE REPORTING UNITS FROM THE INSTRUCTIONS SHEET BEFORE ENTERING DATA","All volumes to be entered as: "&amp;UPPER(Instructions!$D$34)&amp;" PER YEAR")</f>
        <v>All volumes to be entered as: MILLION GALLONS (US) PER YEAR</v>
      </c>
      <c r="H9" s="519"/>
      <c r="I9" s="519"/>
      <c r="J9" s="519"/>
      <c r="K9" s="519"/>
      <c r="L9" s="519"/>
      <c r="M9" s="519"/>
      <c r="N9" s="519"/>
      <c r="O9" s="519"/>
      <c r="P9" s="524"/>
      <c r="Q9" s="283"/>
      <c r="S9" s="373"/>
      <c r="T9" s="373"/>
    </row>
    <row r="10" spans="1:23" s="64" customFormat="1" ht="3" customHeight="1">
      <c r="A10" s="283"/>
      <c r="B10" s="523"/>
      <c r="C10" s="166"/>
      <c r="D10" s="167"/>
      <c r="E10" s="168"/>
      <c r="F10" s="167"/>
      <c r="G10" s="166"/>
      <c r="H10" s="166"/>
      <c r="I10" s="166"/>
      <c r="J10" s="166"/>
      <c r="K10" s="166"/>
      <c r="L10" s="166"/>
      <c r="M10" s="166"/>
      <c r="N10" s="166"/>
      <c r="O10" s="166"/>
      <c r="P10" s="524"/>
      <c r="Q10" s="283"/>
    </row>
    <row r="11" spans="1:23" s="64" customFormat="1" ht="3" customHeight="1">
      <c r="A11" s="283"/>
      <c r="B11" s="523"/>
      <c r="C11" s="164"/>
      <c r="D11" s="162"/>
      <c r="E11" s="163"/>
      <c r="F11" s="162"/>
      <c r="G11" s="164"/>
      <c r="H11" s="164"/>
      <c r="I11" s="164"/>
      <c r="J11" s="164"/>
      <c r="K11" s="164"/>
      <c r="L11" s="164"/>
      <c r="M11" s="164"/>
      <c r="N11" s="164"/>
      <c r="O11" s="164"/>
      <c r="P11" s="524"/>
      <c r="Q11" s="283"/>
    </row>
    <row r="12" spans="1:23" s="64" customFormat="1" ht="24.6" customHeight="1">
      <c r="A12" s="283"/>
      <c r="B12" s="523"/>
      <c r="C12" s="708"/>
      <c r="D12" s="708"/>
      <c r="E12" s="708"/>
      <c r="F12" s="708"/>
      <c r="G12" s="708"/>
      <c r="H12" s="584"/>
      <c r="I12" s="637"/>
      <c r="J12" s="169" t="s">
        <v>744</v>
      </c>
      <c r="K12" s="169"/>
      <c r="L12" s="169"/>
      <c r="M12" s="169"/>
      <c r="N12" s="169"/>
      <c r="O12" s="169"/>
      <c r="P12" s="638"/>
      <c r="Q12" s="283"/>
    </row>
    <row r="13" spans="1:23" s="64" customFormat="1" ht="17.399999999999999" customHeight="1">
      <c r="A13" s="283"/>
      <c r="B13" s="523"/>
      <c r="C13" s="162" t="s">
        <v>246</v>
      </c>
      <c r="D13" s="725" t="s">
        <v>297</v>
      </c>
      <c r="E13" s="725"/>
      <c r="F13" s="725"/>
      <c r="G13" s="725"/>
      <c r="H13" s="725"/>
      <c r="I13" s="725"/>
      <c r="J13" s="725"/>
      <c r="K13" s="515"/>
      <c r="L13" s="169" t="s">
        <v>202</v>
      </c>
      <c r="M13" s="169"/>
      <c r="N13" s="169" t="s">
        <v>201</v>
      </c>
      <c r="O13" s="169"/>
      <c r="P13" s="524"/>
      <c r="Q13" s="283"/>
      <c r="R13" s="231" t="s">
        <v>313</v>
      </c>
      <c r="T13" s="134" t="s">
        <v>296</v>
      </c>
      <c r="U13" s="134" t="s">
        <v>295</v>
      </c>
      <c r="W13" s="230" t="s">
        <v>305</v>
      </c>
    </row>
    <row r="14" spans="1:23" s="64" customFormat="1" ht="2.25" customHeight="1" thickBot="1">
      <c r="A14" s="283"/>
      <c r="B14" s="523"/>
      <c r="C14" s="162"/>
      <c r="D14" s="162"/>
      <c r="E14" s="162"/>
      <c r="F14" s="162"/>
      <c r="G14" s="162"/>
      <c r="H14" s="162"/>
      <c r="I14" s="162"/>
      <c r="J14" s="162"/>
      <c r="K14" s="162"/>
      <c r="L14" s="169"/>
      <c r="M14" s="169"/>
      <c r="N14" s="169"/>
      <c r="O14" s="169"/>
      <c r="P14" s="524"/>
      <c r="Q14" s="283"/>
      <c r="S14" s="132"/>
    </row>
    <row r="15" spans="1:23" s="64" customFormat="1">
      <c r="A15" s="283"/>
      <c r="B15" s="523"/>
      <c r="C15" s="170" t="s">
        <v>131</v>
      </c>
      <c r="D15" s="171"/>
      <c r="E15" s="580" t="s">
        <v>66</v>
      </c>
      <c r="F15" s="172"/>
      <c r="G15" s="360">
        <v>0</v>
      </c>
      <c r="H15" s="173"/>
      <c r="I15" s="174" t="str">
        <f>IF(Instructions!$D$34="million gallons (US)","MG/Yr",IF(Instructions!$D$34="Megalitres (thousand cubic metres)","ML/Yr",IF(Instructions!$D$34="acre-feet","acre-ft/yr","")))</f>
        <v>MG/Yr</v>
      </c>
      <c r="J15" s="580">
        <v>7</v>
      </c>
      <c r="K15" s="174"/>
      <c r="L15" s="393">
        <v>0.01</v>
      </c>
      <c r="M15" s="356"/>
      <c r="N15" s="688"/>
      <c r="O15" s="690"/>
      <c r="P15" s="527" t="str">
        <f>IF(Instructions!$D$34="million gallons (US)","MG/Yr",IF(Instructions!$D$34="Megalitres (thousand cubic metres)","ML/Yr",IF(Instructions!$D$34="acre-feet","acre-ft/yr","")))</f>
        <v>MG/Yr</v>
      </c>
      <c r="Q15" s="283"/>
      <c r="R15" s="385">
        <v>1</v>
      </c>
      <c r="S15" s="388">
        <f>IF(G15&gt;0,IF(R15=1,L15*G15,N15),0)</f>
        <v>0</v>
      </c>
      <c r="T15" s="389">
        <f>$T$19/$T$18*G15</f>
        <v>0</v>
      </c>
      <c r="U15" s="389">
        <f>$T$19/$T$18*ABS(S15)</f>
        <v>0</v>
      </c>
      <c r="V15" s="133"/>
    </row>
    <row r="16" spans="1:23" s="64" customFormat="1">
      <c r="A16" s="283"/>
      <c r="B16" s="523"/>
      <c r="C16" s="170" t="s">
        <v>4</v>
      </c>
      <c r="D16" s="162"/>
      <c r="E16" s="580">
        <v>7</v>
      </c>
      <c r="F16" s="172"/>
      <c r="G16" s="360">
        <v>110</v>
      </c>
      <c r="H16" s="173"/>
      <c r="I16" s="174" t="str">
        <f>IF(Instructions!$D$34="million gallons (US)","MG/Yr",IF(Instructions!$D$34="Megalitres (thousand cubic metres)","ML/Yr",IF(Instructions!$D$34="acre-feet","acre-ft/yr","")))</f>
        <v>MG/Yr</v>
      </c>
      <c r="J16" s="582">
        <v>7</v>
      </c>
      <c r="K16" s="174"/>
      <c r="L16" s="393">
        <v>0.01</v>
      </c>
      <c r="M16" s="356"/>
      <c r="N16" s="688"/>
      <c r="O16" s="690"/>
      <c r="P16" s="527" t="str">
        <f>IF(Instructions!$D$34="million gallons (US)","MG/Yr",IF(Instructions!$D$34="Megalitres (thousand cubic metres)","ML/Yr",IF(Instructions!$D$34="acre-feet","acre-ft/yr","")))</f>
        <v>MG/Yr</v>
      </c>
      <c r="Q16" s="283"/>
      <c r="R16" s="386">
        <v>1</v>
      </c>
      <c r="S16" s="388">
        <f>IF(G16&gt;0,IF(R16=1,L16*G16,N16),0)</f>
        <v>1.1000000000000001</v>
      </c>
      <c r="T16" s="389">
        <f>$T$19/$T$18*G16</f>
        <v>34.653465346534652</v>
      </c>
      <c r="U16" s="389">
        <f>$T$19/$T$18*ABS(S16)</f>
        <v>0.34653465346534656</v>
      </c>
    </row>
    <row r="17" spans="1:28" s="64" customFormat="1" ht="13.2" customHeight="1" thickBot="1">
      <c r="A17" s="283"/>
      <c r="B17" s="523"/>
      <c r="C17" s="170" t="s">
        <v>5</v>
      </c>
      <c r="D17" s="162"/>
      <c r="E17" s="580" t="s">
        <v>66</v>
      </c>
      <c r="F17" s="172"/>
      <c r="G17" s="360">
        <v>0</v>
      </c>
      <c r="H17" s="173"/>
      <c r="I17" s="174" t="str">
        <f>IF(Instructions!$D$34="million gallons (US)","MG/Yr",IF(Instructions!$D$34="Megalitres (thousand cubic metres)","ML/Yr",IF(Instructions!$D$34="acre-feet","acre-ft/yr","")))</f>
        <v>MG/Yr</v>
      </c>
      <c r="J17" s="580"/>
      <c r="K17" s="174"/>
      <c r="L17" s="393"/>
      <c r="M17" s="357"/>
      <c r="N17" s="688"/>
      <c r="O17" s="690"/>
      <c r="P17" s="527" t="str">
        <f>IF(Instructions!$D$34="million gallons (US)","MG/Yr",IF(Instructions!$D$34="Megalitres (thousand cubic metres)","ML/Yr",IF(Instructions!$D$34="acre-feet","acre-ft/yr","")))</f>
        <v>MG/Yr</v>
      </c>
      <c r="Q17" s="283"/>
      <c r="R17" s="387">
        <v>1</v>
      </c>
      <c r="S17" s="388">
        <f>IF(G17&gt;0,IF(R17=1,L17*G17,N17),0)</f>
        <v>0</v>
      </c>
      <c r="T17" s="389">
        <f>$T$19/$T$18*G17</f>
        <v>0</v>
      </c>
      <c r="U17" s="389">
        <f>$T$19/$T$18*ABS(S17)</f>
        <v>0</v>
      </c>
    </row>
    <row r="18" spans="1:28" s="64" customFormat="1" ht="14.4" customHeight="1">
      <c r="A18" s="283"/>
      <c r="B18" s="523"/>
      <c r="C18" s="175"/>
      <c r="D18" s="175"/>
      <c r="E18" s="176"/>
      <c r="F18" s="172"/>
      <c r="G18" s="358"/>
      <c r="H18" s="173"/>
      <c r="I18" s="169"/>
      <c r="J18" s="518" t="s">
        <v>282</v>
      </c>
      <c r="K18" s="169"/>
      <c r="L18" s="528"/>
      <c r="M18" s="164"/>
      <c r="N18" s="164"/>
      <c r="O18" s="164"/>
      <c r="P18" s="524"/>
      <c r="Q18" s="283"/>
      <c r="S18" s="390"/>
      <c r="T18" s="389">
        <f>G15+G16+G17+IF(G15&gt;0,ABS(S15),0)+IF(G16&gt;0,ABS(S16),0)+IF(G17&gt;0,(ABS(S17)),)</f>
        <v>111.1</v>
      </c>
      <c r="U18" s="391"/>
    </row>
    <row r="19" spans="1:28" s="64" customFormat="1" ht="13.8">
      <c r="A19" s="283"/>
      <c r="B19" s="523"/>
      <c r="C19" s="226" t="s">
        <v>245</v>
      </c>
      <c r="D19" s="177"/>
      <c r="E19" s="176"/>
      <c r="F19" s="172"/>
      <c r="G19" s="211">
        <f>IF(G15&gt;0,IF(R15=1,G15/(1+L15),G15-N15),0)+IF(G16&gt;0,IF(R16=1,G16/(1+L16),G16-N16),0)-IF(G17&gt;0,IF(R17=1,G17/(1+L17),G17-N17),0)</f>
        <v>108.91089108910892</v>
      </c>
      <c r="H19" s="178"/>
      <c r="I19" s="174" t="str">
        <f>IF(Instructions!$D$34="million gallons (US)","MG/Yr",IF(Instructions!$D$34="Megalitres (thousand cubic metres)","ML/Yr",IF(Instructions!$D$34="acre-feet","acre-ft/yr","")))</f>
        <v>MG/Yr</v>
      </c>
      <c r="J19" s="518" t="s">
        <v>283</v>
      </c>
      <c r="K19" s="174"/>
      <c r="L19" s="528"/>
      <c r="M19" s="164"/>
      <c r="N19" s="169"/>
      <c r="O19" s="518"/>
      <c r="P19" s="524"/>
      <c r="Q19" s="283"/>
      <c r="S19" s="392"/>
      <c r="T19" s="392">
        <f>GradingAssessment!D27</f>
        <v>35</v>
      </c>
      <c r="U19" s="392" t="s">
        <v>298</v>
      </c>
    </row>
    <row r="20" spans="1:28" s="64" customFormat="1" ht="5.25" customHeight="1">
      <c r="A20" s="283"/>
      <c r="B20" s="523"/>
      <c r="C20" s="179"/>
      <c r="D20" s="179"/>
      <c r="E20" s="180"/>
      <c r="F20" s="179"/>
      <c r="G20" s="166"/>
      <c r="H20" s="166"/>
      <c r="I20" s="166"/>
      <c r="J20" s="166"/>
      <c r="K20" s="166"/>
      <c r="L20" s="181"/>
      <c r="M20" s="181"/>
      <c r="N20" s="181"/>
      <c r="O20" s="166"/>
      <c r="P20" s="524"/>
      <c r="Q20" s="283"/>
    </row>
    <row r="21" spans="1:28" s="64" customFormat="1" ht="6" customHeight="1">
      <c r="A21" s="283"/>
      <c r="B21" s="523"/>
      <c r="C21" s="172"/>
      <c r="D21" s="172"/>
      <c r="E21" s="176" t="s">
        <v>28</v>
      </c>
      <c r="F21" s="172"/>
      <c r="G21" s="164"/>
      <c r="H21" s="164"/>
      <c r="I21" s="164"/>
      <c r="J21" s="164"/>
      <c r="K21" s="164"/>
      <c r="L21" s="169"/>
      <c r="M21" s="169"/>
      <c r="N21" s="169"/>
      <c r="O21" s="164"/>
      <c r="P21" s="524"/>
      <c r="Q21" s="283"/>
    </row>
    <row r="22" spans="1:28" s="64" customFormat="1">
      <c r="A22" s="283"/>
      <c r="B22" s="523"/>
      <c r="C22" s="162" t="s">
        <v>247</v>
      </c>
      <c r="D22" s="162"/>
      <c r="E22" s="182"/>
      <c r="F22" s="162"/>
      <c r="G22" s="162"/>
      <c r="H22" s="162"/>
      <c r="I22" s="162"/>
      <c r="J22" s="162"/>
      <c r="K22" s="162"/>
      <c r="L22" s="162"/>
      <c r="M22" s="162"/>
      <c r="N22" s="162"/>
      <c r="O22" s="162"/>
      <c r="P22" s="524"/>
      <c r="Q22" s="283"/>
    </row>
    <row r="23" spans="1:28" s="64" customFormat="1">
      <c r="A23" s="283"/>
      <c r="B23" s="523"/>
      <c r="C23" s="170" t="s">
        <v>132</v>
      </c>
      <c r="D23" s="175"/>
      <c r="E23" s="580">
        <v>7</v>
      </c>
      <c r="F23" s="172"/>
      <c r="G23" s="360">
        <v>90</v>
      </c>
      <c r="H23" s="173"/>
      <c r="I23" s="174" t="str">
        <f>IF(Instructions!$D$34="million gallons (US)","MG/Yr",IF(Instructions!$D$34="Megalitres (thousand cubic metres)","ML/Yr",IF(Instructions!$D$34="acre-feet","acre-ft/yr","")))</f>
        <v>MG/Yr</v>
      </c>
      <c r="J23" s="174"/>
      <c r="K23" s="174"/>
      <c r="L23" s="518"/>
      <c r="M23" s="164"/>
      <c r="N23" s="164"/>
      <c r="O23" s="164"/>
      <c r="P23" s="524"/>
      <c r="Q23" s="283"/>
      <c r="R23" s="71"/>
      <c r="S23" s="71"/>
      <c r="U23" s="373"/>
      <c r="V23" s="373"/>
      <c r="W23" s="373"/>
    </row>
    <row r="24" spans="1:28" s="64" customFormat="1">
      <c r="A24" s="283"/>
      <c r="B24" s="523"/>
      <c r="C24" s="170" t="s">
        <v>133</v>
      </c>
      <c r="D24" s="175"/>
      <c r="E24" s="580">
        <v>7</v>
      </c>
      <c r="F24" s="172"/>
      <c r="G24" s="360">
        <v>1</v>
      </c>
      <c r="H24" s="173"/>
      <c r="I24" s="174" t="str">
        <f>IF(Instructions!$D$34="million gallons (US)","MG/Yr",IF(Instructions!$D$34="Megalitres (thousand cubic metres)","ML/Yr",IF(Instructions!$D$34="acre-feet","acre-ft/yr","")))</f>
        <v>MG/Yr</v>
      </c>
      <c r="J24" s="174"/>
      <c r="K24" s="174"/>
      <c r="L24" s="518"/>
      <c r="M24" s="164"/>
      <c r="N24" s="170"/>
      <c r="O24" s="170"/>
      <c r="P24" s="524"/>
      <c r="Q24" s="283"/>
      <c r="R24" s="71"/>
      <c r="S24" s="71"/>
    </row>
    <row r="25" spans="1:28" s="64" customFormat="1" ht="13.2" customHeight="1">
      <c r="A25" s="283"/>
      <c r="B25" s="523"/>
      <c r="C25" s="170" t="s">
        <v>134</v>
      </c>
      <c r="D25" s="175"/>
      <c r="E25" s="580">
        <v>7</v>
      </c>
      <c r="F25" s="172"/>
      <c r="G25" s="360">
        <v>1</v>
      </c>
      <c r="H25" s="173"/>
      <c r="I25" s="174" t="str">
        <f>IF(Instructions!$D$34="million gallons (US)","MG/Yr",IF(Instructions!$D$34="Megalitres (thousand cubic metres)","ML/Yr",IF(Instructions!$D$34="acre-feet","acre-ft/yr","")))</f>
        <v>MG/Yr</v>
      </c>
      <c r="J25" s="174"/>
      <c r="K25" s="174"/>
      <c r="L25" s="169" t="s">
        <v>202</v>
      </c>
      <c r="M25" s="517"/>
      <c r="N25" s="164" t="s">
        <v>201</v>
      </c>
      <c r="O25" s="164"/>
      <c r="P25" s="524"/>
      <c r="Q25" s="283"/>
      <c r="R25" s="71"/>
      <c r="S25" s="71"/>
      <c r="AA25" s="381" t="s">
        <v>353</v>
      </c>
      <c r="AB25" s="382"/>
    </row>
    <row r="26" spans="1:28" s="64" customFormat="1" ht="15" customHeight="1">
      <c r="A26" s="283"/>
      <c r="B26" s="523"/>
      <c r="C26" s="170" t="s">
        <v>135</v>
      </c>
      <c r="D26" s="175"/>
      <c r="E26" s="580"/>
      <c r="F26" s="172"/>
      <c r="G26" s="361">
        <f>IF(OR(R26=1,AND(R26=2,N26=0)),L26*$G$19,N26)</f>
        <v>1.3613861386138615</v>
      </c>
      <c r="H26" s="173"/>
      <c r="I26" s="174" t="str">
        <f>IF(Instructions!$D$34="million gallons (US)","MG/Yr",IF(Instructions!$D$34="Megalitres (thousand cubic metres)","ML/Yr",IF(Instructions!$D$34="acre-feet","acre-ft/yr","")))</f>
        <v>MG/Yr</v>
      </c>
      <c r="J26" s="174"/>
      <c r="K26" s="174"/>
      <c r="L26" s="359">
        <v>1.2500000000000001E-2</v>
      </c>
      <c r="M26" s="356"/>
      <c r="N26" s="688"/>
      <c r="O26" s="690"/>
      <c r="P26" s="527" t="str">
        <f>IF(Instructions!$D$34="million gallons (US)","MG/Yr",IF(Instructions!$D$34="Megalitres (thousand cubic metres)","ML/Yr",IF(Instructions!$D$34="acre-feet","acre-ft/yr","")))</f>
        <v>MG/Yr</v>
      </c>
      <c r="Q26" s="283"/>
      <c r="R26" s="72">
        <v>1</v>
      </c>
      <c r="S26" s="71"/>
      <c r="T26" s="64" t="s">
        <v>302</v>
      </c>
      <c r="AA26" s="382"/>
      <c r="AB26" s="382"/>
    </row>
    <row r="27" spans="1:28" s="64" customFormat="1" ht="2.25" customHeight="1">
      <c r="A27" s="283"/>
      <c r="B27" s="523"/>
      <c r="C27" s="170"/>
      <c r="D27" s="170"/>
      <c r="E27" s="175"/>
      <c r="F27" s="175"/>
      <c r="G27" s="175"/>
      <c r="H27" s="175"/>
      <c r="I27" s="174"/>
      <c r="J27" s="174"/>
      <c r="K27" s="174"/>
      <c r="L27" s="174"/>
      <c r="M27" s="174"/>
      <c r="N27" s="174">
        <v>24061</v>
      </c>
      <c r="O27" s="174"/>
      <c r="P27" s="524"/>
      <c r="Q27" s="283"/>
      <c r="R27" s="73"/>
      <c r="S27" s="71"/>
      <c r="AA27" s="382"/>
      <c r="AB27" s="382"/>
    </row>
    <row r="28" spans="1:28" s="64" customFormat="1" ht="15" customHeight="1">
      <c r="A28" s="283"/>
      <c r="B28" s="523"/>
      <c r="C28" s="692" t="str">
        <f>IF(R26=1,"       Default option selected for Unbilled unmetered - a grading of 5 is applied but not displayed",IF(R26=2,IF(N26&gt;0.0125*G19,"               Unbilled Unmetered volume entered is greater than the recommended default value",IF(N26=0,"Enter a positive value, otherwise a default percentage of 1.25% (of billed metered) is applied and a grading of 5 is applied but not displayed",""))))</f>
        <v xml:space="preserve">       Default option selected for Unbilled unmetered - a grading of 5 is applied but not displayed</v>
      </c>
      <c r="D28" s="692"/>
      <c r="E28" s="692"/>
      <c r="F28" s="692"/>
      <c r="G28" s="692"/>
      <c r="H28" s="692"/>
      <c r="I28" s="692"/>
      <c r="J28" s="692"/>
      <c r="K28" s="692"/>
      <c r="L28" s="692"/>
      <c r="M28" s="174"/>
      <c r="N28" s="174"/>
      <c r="O28" s="174"/>
      <c r="P28" s="524"/>
      <c r="Q28" s="283"/>
      <c r="R28" s="73"/>
      <c r="S28" s="71"/>
      <c r="AA28" s="382"/>
      <c r="AB28" s="382"/>
    </row>
    <row r="29" spans="1:28" s="64" customFormat="1" ht="2.25" customHeight="1">
      <c r="A29" s="283"/>
      <c r="B29" s="523"/>
      <c r="C29" s="175"/>
      <c r="D29" s="175"/>
      <c r="E29" s="169"/>
      <c r="F29" s="183"/>
      <c r="G29" s="173"/>
      <c r="H29" s="173"/>
      <c r="I29" s="169"/>
      <c r="J29" s="169"/>
      <c r="K29" s="169"/>
      <c r="L29" s="164"/>
      <c r="M29" s="164"/>
      <c r="N29" s="517"/>
      <c r="O29" s="164"/>
      <c r="P29" s="524"/>
      <c r="Q29" s="283"/>
      <c r="R29" s="73"/>
      <c r="S29" s="71"/>
      <c r="AA29" s="382"/>
      <c r="AB29" s="382"/>
    </row>
    <row r="30" spans="1:28" s="64" customFormat="1" ht="15" customHeight="1">
      <c r="A30" s="283"/>
      <c r="B30" s="523"/>
      <c r="C30" s="226" t="s">
        <v>244</v>
      </c>
      <c r="D30" s="177"/>
      <c r="E30" s="184"/>
      <c r="F30" s="172"/>
      <c r="G30" s="363">
        <f>SUM(G23:G26)</f>
        <v>93.361386138613867</v>
      </c>
      <c r="H30" s="178"/>
      <c r="I30" s="174" t="str">
        <f>IF(Instructions!$D$34="million gallons (US)","MG/Yr",IF(Instructions!$D$34="Megalitres (thousand cubic metres)","ML/Yr",IF(Instructions!$D$34="acre-feet","acre-ft/yr","")))</f>
        <v>MG/Yr</v>
      </c>
      <c r="J30" s="174"/>
      <c r="K30" s="174"/>
      <c r="L30" s="164"/>
      <c r="M30" s="164"/>
      <c r="N30" s="518"/>
      <c r="O30" s="518"/>
      <c r="P30" s="524"/>
      <c r="Q30" s="283"/>
      <c r="R30" s="73"/>
      <c r="S30" s="71"/>
      <c r="AA30" s="382"/>
      <c r="AB30" s="382"/>
    </row>
    <row r="31" spans="1:28" s="64" customFormat="1" ht="2.25" customHeight="1">
      <c r="A31" s="283"/>
      <c r="B31" s="523"/>
      <c r="C31" s="175"/>
      <c r="D31" s="175"/>
      <c r="E31" s="529"/>
      <c r="F31" s="178"/>
      <c r="G31" s="164"/>
      <c r="H31" s="178"/>
      <c r="I31" s="187"/>
      <c r="J31" s="187"/>
      <c r="K31" s="187"/>
      <c r="L31" s="164"/>
      <c r="M31" s="164"/>
      <c r="N31" s="530"/>
      <c r="O31" s="518"/>
      <c r="P31" s="524"/>
      <c r="Q31" s="283"/>
      <c r="R31" s="73"/>
      <c r="S31" s="71"/>
      <c r="AA31" s="382"/>
      <c r="AB31" s="382"/>
    </row>
    <row r="32" spans="1:28" s="64" customFormat="1" ht="15" customHeight="1">
      <c r="A32" s="283"/>
      <c r="B32" s="523"/>
      <c r="C32" s="724" t="str">
        <f>IF(AND(G30&gt;=G19,(G30&lt;&gt;0)),"               Check input values; WATER SUPPLIED should be greater than AUTHORIZED CONSUMPTION","")</f>
        <v/>
      </c>
      <c r="D32" s="724"/>
      <c r="E32" s="724"/>
      <c r="F32" s="724"/>
      <c r="G32" s="724"/>
      <c r="H32" s="724"/>
      <c r="I32" s="724"/>
      <c r="J32" s="724"/>
      <c r="K32" s="724"/>
      <c r="L32" s="724"/>
      <c r="M32" s="164"/>
      <c r="N32" s="530"/>
      <c r="O32" s="518"/>
      <c r="P32" s="524"/>
      <c r="Q32" s="283"/>
      <c r="R32" s="73"/>
      <c r="S32" s="71"/>
      <c r="T32" s="64" t="s">
        <v>301</v>
      </c>
      <c r="AA32" s="382"/>
      <c r="AB32" s="382"/>
    </row>
    <row r="33" spans="1:28" s="64" customFormat="1" ht="3" customHeight="1">
      <c r="A33" s="283"/>
      <c r="B33" s="523"/>
      <c r="C33" s="179"/>
      <c r="D33" s="179"/>
      <c r="E33" s="185"/>
      <c r="F33" s="179"/>
      <c r="G33" s="166"/>
      <c r="H33" s="166"/>
      <c r="I33" s="166"/>
      <c r="J33" s="164"/>
      <c r="K33" s="164"/>
      <c r="L33" s="169"/>
      <c r="M33" s="169"/>
      <c r="N33" s="169"/>
      <c r="O33" s="164"/>
      <c r="P33" s="524"/>
      <c r="Q33" s="283"/>
      <c r="R33" s="73"/>
      <c r="S33" s="71"/>
      <c r="AA33" s="382"/>
      <c r="AB33" s="382"/>
    </row>
    <row r="34" spans="1:28" s="64" customFormat="1" ht="6" customHeight="1">
      <c r="A34" s="283"/>
      <c r="B34" s="523"/>
      <c r="C34" s="172"/>
      <c r="D34" s="172"/>
      <c r="E34" s="184"/>
      <c r="F34" s="172"/>
      <c r="G34" s="164"/>
      <c r="H34" s="164"/>
      <c r="I34" s="164"/>
      <c r="J34" s="164"/>
      <c r="K34" s="164"/>
      <c r="L34" s="169"/>
      <c r="M34" s="169"/>
      <c r="N34" s="169"/>
      <c r="O34" s="164"/>
      <c r="P34" s="524"/>
      <c r="Q34" s="283"/>
      <c r="R34" s="73"/>
      <c r="S34" s="71"/>
      <c r="AA34" s="382"/>
      <c r="AB34" s="382"/>
    </row>
    <row r="35" spans="1:28" s="64" customFormat="1" ht="15" customHeight="1">
      <c r="A35" s="283"/>
      <c r="B35" s="523"/>
      <c r="C35" s="162" t="s">
        <v>248</v>
      </c>
      <c r="D35" s="162"/>
      <c r="E35" s="184"/>
      <c r="F35" s="162"/>
      <c r="G35" s="363">
        <f>G19-G30</f>
        <v>15.549504950495049</v>
      </c>
      <c r="H35" s="164"/>
      <c r="I35" s="174" t="str">
        <f>IF(Instructions!$D$34="million gallons (US)","MG/Yr",IF(Instructions!$D$34="Megalitres (thousand cubic metres)","ML/Yr",IF(Instructions!$D$34="acre-feet","acre-ft/yr","")))</f>
        <v>MG/Yr</v>
      </c>
      <c r="J35" s="174"/>
      <c r="K35" s="174"/>
      <c r="L35" s="164"/>
      <c r="M35" s="715"/>
      <c r="N35" s="164"/>
      <c r="O35" s="164"/>
      <c r="P35" s="524"/>
      <c r="Q35" s="283"/>
      <c r="R35" s="73"/>
      <c r="S35" s="71"/>
      <c r="AA35" s="382"/>
      <c r="AB35" s="382"/>
    </row>
    <row r="36" spans="1:28" s="64" customFormat="1" ht="5.25" customHeight="1">
      <c r="A36" s="283"/>
      <c r="B36" s="523"/>
      <c r="C36" s="162"/>
      <c r="D36" s="162"/>
      <c r="E36" s="184"/>
      <c r="F36" s="162"/>
      <c r="G36" s="164"/>
      <c r="H36" s="164"/>
      <c r="I36" s="164"/>
      <c r="J36" s="164"/>
      <c r="K36" s="164"/>
      <c r="L36" s="164"/>
      <c r="M36" s="715"/>
      <c r="N36" s="164"/>
      <c r="O36" s="164"/>
      <c r="P36" s="524"/>
      <c r="Q36" s="283"/>
      <c r="R36" s="73"/>
      <c r="S36" s="71"/>
      <c r="AA36" s="382"/>
      <c r="AB36" s="382"/>
    </row>
    <row r="37" spans="1:28" s="64" customFormat="1">
      <c r="A37" s="283"/>
      <c r="B37" s="523"/>
      <c r="C37" s="186" t="s">
        <v>120</v>
      </c>
      <c r="D37" s="175"/>
      <c r="E37" s="184"/>
      <c r="F37" s="175"/>
      <c r="G37" s="164"/>
      <c r="H37" s="164"/>
      <c r="I37" s="187"/>
      <c r="J37" s="187"/>
      <c r="K37" s="187"/>
      <c r="L37" s="169" t="s">
        <v>202</v>
      </c>
      <c r="M37" s="517"/>
      <c r="N37" s="164" t="s">
        <v>201</v>
      </c>
      <c r="O37" s="164"/>
      <c r="P37" s="524"/>
      <c r="Q37" s="283"/>
      <c r="R37" s="73"/>
      <c r="S37" s="71"/>
      <c r="AA37" s="382"/>
      <c r="AB37" s="382"/>
    </row>
    <row r="38" spans="1:28" s="64" customFormat="1" ht="15" customHeight="1">
      <c r="A38" s="283"/>
      <c r="B38" s="523"/>
      <c r="C38" s="170" t="s">
        <v>136</v>
      </c>
      <c r="D38" s="175"/>
      <c r="E38" s="580"/>
      <c r="F38" s="175"/>
      <c r="G38" s="361">
        <f>IF(OR(R38=1,AND(R38=2,N38=0)),L38*$G$19,N38)</f>
        <v>0.2722772277227723</v>
      </c>
      <c r="H38" s="188"/>
      <c r="I38" s="174" t="str">
        <f>IF(Instructions!$D$34="million gallons (US)","MG/Yr",IF(Instructions!$D$34="Megalitres (thousand cubic metres)","ML/Yr",IF(Instructions!$D$34="acre-feet","acre-ft/yr","")))</f>
        <v>MG/Yr</v>
      </c>
      <c r="J38" s="174"/>
      <c r="K38" s="174"/>
      <c r="L38" s="359">
        <v>2.5000000000000001E-3</v>
      </c>
      <c r="M38" s="362"/>
      <c r="N38" s="688"/>
      <c r="O38" s="689"/>
      <c r="P38" s="527" t="str">
        <f>IF(Instructions!$D$34="million gallons (US)","MG/Yr",IF(Instructions!$D$34="Megalitres (thousand cubic metres)","ML/Yr",IF(Instructions!$D$34="acre-feet","acre-ft/yr","")))</f>
        <v>MG/Yr</v>
      </c>
      <c r="Q38" s="283"/>
      <c r="R38" s="72">
        <v>1</v>
      </c>
      <c r="S38" s="71"/>
      <c r="T38" s="64" t="s">
        <v>303</v>
      </c>
      <c r="AA38" s="382"/>
      <c r="AB38" s="382"/>
    </row>
    <row r="39" spans="1:28" s="64" customFormat="1" ht="2.25" customHeight="1">
      <c r="A39" s="283"/>
      <c r="B39" s="523"/>
      <c r="C39" s="164"/>
      <c r="D39" s="164"/>
      <c r="E39" s="164"/>
      <c r="F39" s="164"/>
      <c r="G39" s="164"/>
      <c r="H39" s="164"/>
      <c r="I39" s="164"/>
      <c r="J39" s="164"/>
      <c r="K39" s="164"/>
      <c r="L39" s="164"/>
      <c r="M39" s="173"/>
      <c r="N39" s="173"/>
      <c r="O39" s="164"/>
      <c r="P39" s="524"/>
      <c r="Q39" s="283"/>
      <c r="R39" s="72"/>
      <c r="S39" s="71"/>
      <c r="AA39" s="382"/>
      <c r="AB39" s="382"/>
    </row>
    <row r="40" spans="1:28" s="64" customFormat="1" ht="15" customHeight="1">
      <c r="A40" s="283"/>
      <c r="B40" s="523"/>
      <c r="C40" s="698" t="str">
        <f>IF(R38=1,"                Default option selected for unauthorized consumption - a grading of 5 is applied but not displayed                ",IF(R38=2,IF(N38&gt;0.0025*G19,"Unauthorized consumption volume entered is greater than the recommended default value",IF(N38=0,"Enter a positive value, otherwise a default percentage of 0.25% is applied and a grading of 5 is applied but not displayed",""))))</f>
        <v xml:space="preserve">                Default option selected for unauthorized consumption - a grading of 5 is applied but not displayed                </v>
      </c>
      <c r="D40" s="699"/>
      <c r="E40" s="699"/>
      <c r="F40" s="699"/>
      <c r="G40" s="699"/>
      <c r="H40" s="699"/>
      <c r="I40" s="699"/>
      <c r="J40" s="699"/>
      <c r="K40" s="699"/>
      <c r="L40" s="699"/>
      <c r="M40" s="173"/>
      <c r="N40" s="173"/>
      <c r="O40" s="164"/>
      <c r="P40" s="524"/>
      <c r="Q40" s="283"/>
      <c r="R40" s="72"/>
      <c r="S40" s="71"/>
      <c r="AA40" s="382"/>
      <c r="AB40" s="382"/>
    </row>
    <row r="41" spans="1:28" s="64" customFormat="1" ht="2.25" customHeight="1">
      <c r="A41" s="283"/>
      <c r="B41" s="523"/>
      <c r="C41" s="170"/>
      <c r="D41" s="175"/>
      <c r="E41" s="175"/>
      <c r="F41" s="175"/>
      <c r="G41" s="189"/>
      <c r="H41" s="175"/>
      <c r="I41" s="174"/>
      <c r="J41" s="174"/>
      <c r="K41" s="174"/>
      <c r="L41" s="164"/>
      <c r="M41" s="173"/>
      <c r="N41" s="173"/>
      <c r="O41" s="164"/>
      <c r="P41" s="524"/>
      <c r="Q41" s="283"/>
      <c r="R41" s="72"/>
      <c r="S41" s="71"/>
      <c r="AA41" s="382"/>
      <c r="AB41" s="382"/>
    </row>
    <row r="42" spans="1:28" s="64" customFormat="1" ht="15" customHeight="1">
      <c r="A42" s="283"/>
      <c r="B42" s="523"/>
      <c r="C42" s="170" t="s">
        <v>137</v>
      </c>
      <c r="D42" s="175"/>
      <c r="E42" s="581">
        <v>7</v>
      </c>
      <c r="F42" s="175"/>
      <c r="G42" s="364">
        <f>IF(R42=1,((G23+G25)/(1-L42))-(G23+G25),N42)</f>
        <v>9</v>
      </c>
      <c r="H42" s="188"/>
      <c r="I42" s="174" t="str">
        <f>IF(Instructions!$D$34="million gallons (US)","MG/Yr",IF(Instructions!$D$34="Megalitres (thousand cubic metres)","ML/Yr",IF(Instructions!$D$34="acre-feet","acre-ft/yr","")))</f>
        <v>MG/Yr</v>
      </c>
      <c r="J42" s="174"/>
      <c r="K42" s="174"/>
      <c r="L42" s="365">
        <v>0.09</v>
      </c>
      <c r="M42" s="362"/>
      <c r="N42" s="709"/>
      <c r="O42" s="710"/>
      <c r="P42" s="527" t="str">
        <f>IF(Instructions!$D$34="million gallons (US)","MG/Yr",IF(Instructions!$D$34="Megalitres (thousand cubic metres)","ML/Yr",IF(Instructions!$D$34="acre-feet","acre-ft/yr","")))</f>
        <v>MG/Yr</v>
      </c>
      <c r="Q42" s="283"/>
      <c r="R42" s="72">
        <v>1</v>
      </c>
      <c r="S42" s="71"/>
      <c r="T42" s="64" t="s">
        <v>354</v>
      </c>
      <c r="AA42" s="382"/>
      <c r="AB42" s="382"/>
    </row>
    <row r="43" spans="1:28" s="64" customFormat="1">
      <c r="A43" s="283"/>
      <c r="B43" s="523"/>
      <c r="C43" s="170" t="s">
        <v>3</v>
      </c>
      <c r="D43" s="175"/>
      <c r="E43" s="580"/>
      <c r="F43" s="175"/>
      <c r="G43" s="366">
        <f>IF(R43=1,L43*$G$23,N43)</f>
        <v>0.22500000000000001</v>
      </c>
      <c r="H43" s="188"/>
      <c r="I43" s="174" t="str">
        <f>IF(Instructions!$D$34="million gallons (US)","MG/Yr",IF(Instructions!$D$34="Megalitres (thousand cubic metres)","ML/Yr",IF(Instructions!$D$34="acre-feet","acre-ft/yr","")))</f>
        <v>MG/Yr</v>
      </c>
      <c r="J43" s="174"/>
      <c r="K43" s="174"/>
      <c r="L43" s="359">
        <v>2.5000000000000001E-3</v>
      </c>
      <c r="M43" s="362"/>
      <c r="N43" s="688"/>
      <c r="O43" s="689"/>
      <c r="P43" s="527" t="str">
        <f>IF(Instructions!$D$34="million gallons (US)","MG/Yr",IF(Instructions!$D$34="Megalitres (thousand cubic metres)","ML/Yr",IF(Instructions!$D$34="acre-feet","acre-ft/yr","")))</f>
        <v>MG/Yr</v>
      </c>
      <c r="Q43" s="283"/>
      <c r="R43" s="72">
        <v>1</v>
      </c>
      <c r="S43" s="71"/>
    </row>
    <row r="44" spans="1:28" s="64" customFormat="1" ht="2.25" customHeight="1">
      <c r="A44" s="283"/>
      <c r="B44" s="523"/>
      <c r="C44" s="170"/>
      <c r="D44" s="175"/>
      <c r="E44" s="175"/>
      <c r="F44" s="175"/>
      <c r="G44" s="175"/>
      <c r="H44" s="175"/>
      <c r="I44" s="175"/>
      <c r="J44" s="175"/>
      <c r="K44" s="175"/>
      <c r="L44" s="164"/>
      <c r="M44" s="173"/>
      <c r="N44" s="406"/>
      <c r="O44" s="406"/>
      <c r="P44" s="527"/>
      <c r="Q44" s="283"/>
      <c r="R44" s="73"/>
      <c r="S44" s="71"/>
    </row>
    <row r="45" spans="1:28" s="64" customFormat="1">
      <c r="A45" s="283"/>
      <c r="B45" s="523"/>
      <c r="C45" s="707" t="str">
        <f>IF(OR(G19=0,E43="n/a"),"",IF(OR(ISBLANK(G43),G43=0),"Systematic data handling errors are likely, please enter a positive, non-zero value; otherwise grade = 1 (not displayed)",IF(R43=1,"                   Default option selected for Systematic data handling errors - a grading of 5 is applied but not displayed","")))</f>
        <v xml:space="preserve">                   Default option selected for Systematic data handling errors - a grading of 5 is applied but not displayed</v>
      </c>
      <c r="D45" s="707"/>
      <c r="E45" s="707"/>
      <c r="F45" s="707"/>
      <c r="G45" s="707"/>
      <c r="H45" s="707"/>
      <c r="I45" s="707"/>
      <c r="J45" s="707"/>
      <c r="K45" s="707"/>
      <c r="L45" s="707"/>
      <c r="M45" s="173"/>
      <c r="N45" s="407"/>
      <c r="O45" s="407"/>
      <c r="P45" s="524"/>
      <c r="Q45" s="283"/>
      <c r="R45" s="73"/>
      <c r="S45" s="71"/>
    </row>
    <row r="46" spans="1:28" s="64" customFormat="1" ht="2.25" customHeight="1">
      <c r="A46" s="283"/>
      <c r="B46" s="523"/>
      <c r="C46" s="170"/>
      <c r="D46" s="175"/>
      <c r="E46" s="175"/>
      <c r="F46" s="175"/>
      <c r="G46" s="175"/>
      <c r="H46" s="175"/>
      <c r="I46" s="175"/>
      <c r="J46" s="175"/>
      <c r="K46" s="175"/>
      <c r="L46" s="164"/>
      <c r="M46" s="173"/>
      <c r="N46" s="407"/>
      <c r="O46" s="407"/>
      <c r="P46" s="524"/>
      <c r="Q46" s="283"/>
      <c r="R46" s="73"/>
      <c r="S46" s="71"/>
    </row>
    <row r="47" spans="1:28" s="64" customFormat="1" ht="13.8">
      <c r="A47" s="283"/>
      <c r="B47" s="523"/>
      <c r="C47" s="175" t="s">
        <v>98</v>
      </c>
      <c r="D47" s="175"/>
      <c r="E47" s="190"/>
      <c r="F47" s="175"/>
      <c r="G47" s="363">
        <f>G38+G42+G43</f>
        <v>9.4972772277227726</v>
      </c>
      <c r="H47" s="175"/>
      <c r="I47" s="174" t="str">
        <f>IF(Instructions!$D$34="million gallons (US)","MG/Yr",IF(Instructions!$D$34="Megalitres (thousand cubic metres)","ML/Yr",IF(Instructions!$D$34="acre-feet","acre-ft/yr","")))</f>
        <v>MG/Yr</v>
      </c>
      <c r="J47" s="174"/>
      <c r="K47" s="174"/>
      <c r="L47" s="164"/>
      <c r="M47" s="164"/>
      <c r="N47" s="407"/>
      <c r="O47" s="407"/>
      <c r="P47" s="524"/>
      <c r="Q47" s="283"/>
    </row>
    <row r="48" spans="1:28" s="64" customFormat="1" ht="2.25" customHeight="1">
      <c r="A48" s="283"/>
      <c r="B48" s="523"/>
      <c r="C48" s="175"/>
      <c r="D48" s="191"/>
      <c r="E48" s="191"/>
      <c r="F48" s="191"/>
      <c r="G48" s="164"/>
      <c r="H48" s="191"/>
      <c r="I48" s="178"/>
      <c r="J48" s="178"/>
      <c r="K48" s="178"/>
      <c r="L48" s="173"/>
      <c r="M48" s="164"/>
      <c r="N48" s="407"/>
      <c r="O48" s="407"/>
      <c r="P48" s="524"/>
      <c r="Q48" s="283"/>
    </row>
    <row r="49" spans="1:17" s="64" customFormat="1" ht="15" customHeight="1">
      <c r="A49" s="283"/>
      <c r="B49" s="523"/>
      <c r="C49" s="700" t="str">
        <f>IF(AND(G47&gt;=G35,(G47&lt;&gt;0)),"Check input values; APPARENT LOSSES should be less than WATER LOSSES","")</f>
        <v/>
      </c>
      <c r="D49" s="700"/>
      <c r="E49" s="700"/>
      <c r="F49" s="700"/>
      <c r="G49" s="700"/>
      <c r="H49" s="700"/>
      <c r="I49" s="700"/>
      <c r="J49" s="700"/>
      <c r="K49" s="700"/>
      <c r="L49" s="700"/>
      <c r="M49" s="164"/>
      <c r="N49" s="407"/>
      <c r="O49" s="407"/>
      <c r="P49" s="524"/>
      <c r="Q49" s="283"/>
    </row>
    <row r="50" spans="1:17" s="64" customFormat="1" ht="2.25" customHeight="1">
      <c r="A50" s="283"/>
      <c r="B50" s="523"/>
      <c r="C50" s="175"/>
      <c r="D50" s="191"/>
      <c r="E50" s="192"/>
      <c r="F50" s="191"/>
      <c r="G50" s="164"/>
      <c r="H50" s="191"/>
      <c r="I50" s="178"/>
      <c r="J50" s="178"/>
      <c r="K50" s="178"/>
      <c r="L50" s="173"/>
      <c r="M50" s="164"/>
      <c r="N50" s="407"/>
      <c r="O50" s="407"/>
      <c r="P50" s="524"/>
      <c r="Q50" s="283"/>
    </row>
    <row r="51" spans="1:17" s="64" customFormat="1" ht="15" customHeight="1">
      <c r="A51" s="283"/>
      <c r="B51" s="523"/>
      <c r="C51" s="186" t="s">
        <v>67</v>
      </c>
      <c r="D51" s="191"/>
      <c r="E51" s="190"/>
      <c r="F51" s="191"/>
      <c r="G51" s="187"/>
      <c r="H51" s="164"/>
      <c r="I51" s="187"/>
      <c r="J51" s="187"/>
      <c r="K51" s="187"/>
      <c r="L51" s="164"/>
      <c r="M51" s="164"/>
      <c r="N51" s="407"/>
      <c r="O51" s="407"/>
      <c r="P51" s="524"/>
      <c r="Q51" s="283"/>
    </row>
    <row r="52" spans="1:17" s="64" customFormat="1" ht="13.8">
      <c r="A52" s="283"/>
      <c r="B52" s="523"/>
      <c r="C52" s="175" t="s">
        <v>126</v>
      </c>
      <c r="D52" s="191"/>
      <c r="E52" s="190"/>
      <c r="F52" s="191"/>
      <c r="G52" s="363">
        <f>G35-G47</f>
        <v>6.0522277227722761</v>
      </c>
      <c r="H52" s="191"/>
      <c r="I52" s="174" t="str">
        <f>IF(Instructions!$D$34="million gallons (US)","MG/Yr",IF(Instructions!$D$34="Megalitres (thousand cubic metres)","ML/Yr",IF(Instructions!$D$34="acre-feet","acre-ft/yr","")))</f>
        <v>MG/Yr</v>
      </c>
      <c r="J52" s="174"/>
      <c r="K52" s="174"/>
      <c r="L52" s="164"/>
      <c r="M52" s="164"/>
      <c r="N52" s="173"/>
      <c r="O52" s="164"/>
      <c r="P52" s="524"/>
      <c r="Q52" s="283"/>
    </row>
    <row r="53" spans="1:17" s="64" customFormat="1" ht="6.75" customHeight="1">
      <c r="A53" s="283"/>
      <c r="B53" s="523"/>
      <c r="C53" s="175"/>
      <c r="D53" s="191"/>
      <c r="E53" s="190"/>
      <c r="F53" s="191"/>
      <c r="G53" s="178"/>
      <c r="H53" s="191"/>
      <c r="I53" s="169"/>
      <c r="J53" s="169"/>
      <c r="K53" s="169"/>
      <c r="L53" s="164"/>
      <c r="M53" s="164"/>
      <c r="N53" s="173"/>
      <c r="O53" s="164"/>
      <c r="P53" s="524"/>
      <c r="Q53" s="283"/>
    </row>
    <row r="54" spans="1:17" s="64" customFormat="1" ht="13.8">
      <c r="A54" s="283"/>
      <c r="B54" s="523"/>
      <c r="C54" s="226" t="s">
        <v>241</v>
      </c>
      <c r="D54" s="193"/>
      <c r="E54" s="190"/>
      <c r="F54" s="194"/>
      <c r="G54" s="363">
        <f>G47+G52</f>
        <v>15.549504950495049</v>
      </c>
      <c r="H54" s="173"/>
      <c r="I54" s="174" t="str">
        <f>IF(Instructions!$D$34="million gallons (US)","MG/Yr",IF(Instructions!$D$34="Megalitres (thousand cubic metres)","ML/Yr",IF(Instructions!$D$34="acre-feet","acre-ft/yr","")))</f>
        <v>MG/Yr</v>
      </c>
      <c r="J54" s="174"/>
      <c r="K54" s="174"/>
      <c r="L54" s="164"/>
      <c r="M54" s="164"/>
      <c r="N54" s="169"/>
      <c r="O54" s="518"/>
      <c r="P54" s="524"/>
      <c r="Q54" s="283"/>
    </row>
    <row r="55" spans="1:17" s="64" customFormat="1" ht="5.25" customHeight="1">
      <c r="A55" s="283"/>
      <c r="B55" s="523"/>
      <c r="C55" s="195"/>
      <c r="D55" s="196"/>
      <c r="E55" s="197"/>
      <c r="F55" s="196"/>
      <c r="G55" s="198"/>
      <c r="H55" s="198"/>
      <c r="I55" s="198"/>
      <c r="J55" s="198"/>
      <c r="K55" s="198"/>
      <c r="L55" s="181"/>
      <c r="M55" s="181"/>
      <c r="N55" s="181"/>
      <c r="O55" s="166"/>
      <c r="P55" s="524"/>
      <c r="Q55" s="283"/>
    </row>
    <row r="56" spans="1:17" s="64" customFormat="1" ht="6" customHeight="1">
      <c r="A56" s="283"/>
      <c r="B56" s="523"/>
      <c r="C56" s="175"/>
      <c r="D56" s="194"/>
      <c r="E56" s="199"/>
      <c r="F56" s="194"/>
      <c r="G56" s="173"/>
      <c r="H56" s="173"/>
      <c r="I56" s="173"/>
      <c r="J56" s="173"/>
      <c r="K56" s="173"/>
      <c r="L56" s="169"/>
      <c r="M56" s="169"/>
      <c r="N56" s="169"/>
      <c r="O56" s="164"/>
      <c r="P56" s="524"/>
      <c r="Q56" s="283"/>
    </row>
    <row r="57" spans="1:17" s="64" customFormat="1" ht="13.5" customHeight="1">
      <c r="A57" s="283"/>
      <c r="B57" s="523"/>
      <c r="C57" s="186" t="s">
        <v>20</v>
      </c>
      <c r="D57" s="191"/>
      <c r="E57" s="190"/>
      <c r="F57" s="191"/>
      <c r="G57" s="178"/>
      <c r="H57" s="191"/>
      <c r="I57" s="169"/>
      <c r="J57" s="169"/>
      <c r="K57" s="169"/>
      <c r="L57" s="164"/>
      <c r="M57" s="164"/>
      <c r="N57" s="173"/>
      <c r="O57" s="164"/>
      <c r="P57" s="524"/>
      <c r="Q57" s="283"/>
    </row>
    <row r="58" spans="1:17" s="64" customFormat="1" ht="13.5" customHeight="1">
      <c r="A58" s="283"/>
      <c r="B58" s="523"/>
      <c r="C58" s="227" t="s">
        <v>189</v>
      </c>
      <c r="D58" s="191"/>
      <c r="E58" s="190"/>
      <c r="F58" s="191"/>
      <c r="G58" s="363">
        <f>G35+G25+G26</f>
        <v>17.910891089108912</v>
      </c>
      <c r="H58" s="191"/>
      <c r="I58" s="174" t="str">
        <f>IF(Instructions!$D$34="million gallons (US)","MG/Yr",IF(Instructions!$D$34="Megalitres (thousand cubic metres)","ML/Yr",IF(Instructions!$D$34="acre-feet","acre-ft/yr","")))</f>
        <v>MG/Yr</v>
      </c>
      <c r="J58" s="174"/>
      <c r="K58" s="174"/>
      <c r="L58" s="164"/>
      <c r="M58" s="164"/>
      <c r="N58" s="173"/>
      <c r="O58" s="164"/>
      <c r="P58" s="524"/>
      <c r="Q58" s="283"/>
    </row>
    <row r="59" spans="1:17" s="64" customFormat="1" ht="13.5" customHeight="1">
      <c r="A59" s="283"/>
      <c r="B59" s="523"/>
      <c r="C59" s="200" t="s">
        <v>294</v>
      </c>
      <c r="D59" s="201"/>
      <c r="E59" s="201"/>
      <c r="F59" s="201"/>
      <c r="G59" s="201"/>
      <c r="H59" s="201"/>
      <c r="I59" s="201"/>
      <c r="J59" s="201"/>
      <c r="K59" s="201"/>
      <c r="L59" s="201"/>
      <c r="M59" s="201"/>
      <c r="N59" s="201"/>
      <c r="O59" s="201"/>
      <c r="P59" s="524"/>
      <c r="Q59" s="283"/>
    </row>
    <row r="60" spans="1:17" s="64" customFormat="1" ht="16.5" customHeight="1">
      <c r="A60" s="283"/>
      <c r="B60" s="523"/>
      <c r="C60" s="162" t="s">
        <v>167</v>
      </c>
      <c r="D60" s="162"/>
      <c r="E60" s="199"/>
      <c r="F60" s="162"/>
      <c r="G60" s="164"/>
      <c r="H60" s="164"/>
      <c r="I60" s="164"/>
      <c r="J60" s="164"/>
      <c r="K60" s="164"/>
      <c r="L60" s="164"/>
      <c r="M60" s="164"/>
      <c r="N60" s="164"/>
      <c r="O60" s="164"/>
      <c r="P60" s="524"/>
      <c r="Q60" s="283"/>
    </row>
    <row r="61" spans="1:17" s="64" customFormat="1" ht="5.25" customHeight="1">
      <c r="A61" s="283"/>
      <c r="B61" s="523"/>
      <c r="C61" s="162"/>
      <c r="D61" s="162"/>
      <c r="E61" s="199"/>
      <c r="F61" s="162"/>
      <c r="G61" s="164"/>
      <c r="H61" s="164"/>
      <c r="I61" s="164"/>
      <c r="J61" s="164"/>
      <c r="K61" s="164"/>
      <c r="L61" s="164"/>
      <c r="M61" s="164"/>
      <c r="N61" s="164"/>
      <c r="O61" s="164"/>
      <c r="P61" s="524"/>
      <c r="Q61" s="283"/>
    </row>
    <row r="62" spans="1:17" s="64" customFormat="1">
      <c r="A62" s="283"/>
      <c r="B62" s="523"/>
      <c r="C62" s="170" t="s">
        <v>138</v>
      </c>
      <c r="D62" s="162"/>
      <c r="E62" s="355">
        <v>7</v>
      </c>
      <c r="F62" s="162"/>
      <c r="G62" s="367">
        <v>73</v>
      </c>
      <c r="H62" s="202"/>
      <c r="I62" s="203" t="str">
        <f>IF(ISBLANK(Instructions!$D$34),"",IF(Instructions!$D$34="Megalitres (thousand cubic metres)","kilometers","miles"))</f>
        <v>miles</v>
      </c>
      <c r="J62" s="203"/>
      <c r="K62" s="203"/>
      <c r="L62" s="164"/>
      <c r="M62" s="164"/>
      <c r="N62" s="164"/>
      <c r="O62" s="164"/>
      <c r="P62" s="524"/>
      <c r="Q62" s="283"/>
    </row>
    <row r="63" spans="1:17" s="64" customFormat="1">
      <c r="A63" s="283"/>
      <c r="B63" s="523"/>
      <c r="C63" s="170" t="s">
        <v>284</v>
      </c>
      <c r="D63" s="162"/>
      <c r="E63" s="355">
        <v>7</v>
      </c>
      <c r="F63" s="162"/>
      <c r="G63" s="368">
        <v>1100</v>
      </c>
      <c r="H63" s="202"/>
      <c r="I63" s="187"/>
      <c r="J63" s="187"/>
      <c r="K63" s="187"/>
      <c r="L63" s="164"/>
      <c r="M63" s="164"/>
      <c r="N63" s="164"/>
      <c r="O63" s="164"/>
      <c r="P63" s="524"/>
      <c r="Q63" s="283"/>
    </row>
    <row r="64" spans="1:17" s="64" customFormat="1">
      <c r="A64" s="283"/>
      <c r="B64" s="523"/>
      <c r="C64" s="170" t="s">
        <v>389</v>
      </c>
      <c r="D64" s="162"/>
      <c r="E64" s="182"/>
      <c r="F64" s="162"/>
      <c r="G64" s="369">
        <f>IF(ISERROR(G63/G62),"",G63/G62)</f>
        <v>15.068493150684931</v>
      </c>
      <c r="H64" s="164"/>
      <c r="I64" s="203" t="str">
        <f>IF(ISBLANK(Instructions!$D$34),"",IF(Instructions!$D$34="Megalitres (thousand cubic metres)","conn./km","conn./mile")&amp; " main")</f>
        <v>conn./mile main</v>
      </c>
      <c r="J64" s="203"/>
      <c r="K64" s="203"/>
      <c r="L64" s="164"/>
      <c r="M64" s="164"/>
      <c r="N64" s="164"/>
      <c r="O64" s="164"/>
      <c r="P64" s="524"/>
      <c r="Q64" s="283"/>
    </row>
    <row r="65" spans="1:21" s="64" customFormat="1" ht="13.2" customHeight="1">
      <c r="A65" s="283"/>
      <c r="B65" s="523"/>
      <c r="C65" s="708" t="s">
        <v>360</v>
      </c>
      <c r="D65" s="162"/>
      <c r="E65" s="182"/>
      <c r="F65" s="182"/>
      <c r="G65" s="164"/>
      <c r="H65" s="164"/>
      <c r="I65" s="203"/>
      <c r="J65" s="203"/>
      <c r="K65" s="203"/>
      <c r="L65" s="164"/>
      <c r="M65" s="164"/>
      <c r="N65" s="164"/>
      <c r="O65" s="164"/>
      <c r="P65" s="524"/>
      <c r="Q65" s="283"/>
    </row>
    <row r="66" spans="1:21" s="64" customFormat="1" ht="13.2" customHeight="1">
      <c r="A66" s="283"/>
      <c r="B66" s="523"/>
      <c r="C66" s="708"/>
      <c r="D66" s="162"/>
      <c r="E66" s="182"/>
      <c r="F66" s="182"/>
      <c r="G66" s="370" t="s">
        <v>770</v>
      </c>
      <c r="H66" s="164"/>
      <c r="I66" s="203"/>
      <c r="J66" s="203"/>
      <c r="K66" s="203"/>
      <c r="L66" s="164"/>
      <c r="M66" s="164"/>
      <c r="N66" s="164"/>
      <c r="O66" s="164"/>
      <c r="P66" s="524"/>
      <c r="Q66" s="283"/>
      <c r="R66" s="101">
        <f>IF(G66="Yes",1,0)</f>
        <v>0</v>
      </c>
      <c r="S66" s="100" t="s">
        <v>291</v>
      </c>
      <c r="T66" s="100"/>
      <c r="U66" s="100"/>
    </row>
    <row r="67" spans="1:21" s="64" customFormat="1" ht="13.5" customHeight="1">
      <c r="A67" s="283"/>
      <c r="B67" s="523"/>
      <c r="C67" s="204" t="s">
        <v>285</v>
      </c>
      <c r="D67" s="162"/>
      <c r="E67" s="355">
        <v>7</v>
      </c>
      <c r="F67" s="162"/>
      <c r="G67" s="367">
        <v>75</v>
      </c>
      <c r="H67" s="162"/>
      <c r="I67" s="203" t="str">
        <f>IF(ISBLANK(Instructions!$D$34),"",IF(Instructions!D34="Megalitres (thousand cubic metres)","metres","ft"))</f>
        <v>ft</v>
      </c>
      <c r="J67" s="203"/>
      <c r="K67" s="203"/>
      <c r="L67" s="205"/>
      <c r="M67" s="205"/>
      <c r="N67" s="205"/>
      <c r="O67" s="205"/>
      <c r="P67" s="524"/>
      <c r="Q67" s="283"/>
      <c r="R67" s="101">
        <f>IF(G66="Yes",10,E67)</f>
        <v>7</v>
      </c>
      <c r="S67" s="100" t="s">
        <v>292</v>
      </c>
      <c r="T67" s="100"/>
      <c r="U67" s="100"/>
    </row>
    <row r="68" spans="1:21" s="64" customFormat="1" ht="14.4" customHeight="1">
      <c r="A68" s="283"/>
      <c r="B68" s="523"/>
      <c r="C68" s="699" t="str">
        <f>IF(G66="Yes","Average length of customer service line has been set to zero and a data grading score of 10 has been applied","")</f>
        <v/>
      </c>
      <c r="D68" s="699"/>
      <c r="E68" s="699"/>
      <c r="F68" s="699"/>
      <c r="G68" s="699"/>
      <c r="H68" s="699"/>
      <c r="I68" s="699"/>
      <c r="J68" s="699"/>
      <c r="K68" s="699"/>
      <c r="L68" s="699"/>
      <c r="M68" s="205"/>
      <c r="N68" s="205"/>
      <c r="O68" s="205"/>
      <c r="P68" s="524"/>
      <c r="Q68" s="283"/>
      <c r="R68" s="101">
        <f>IF(G66="Yes",0,G67)</f>
        <v>75</v>
      </c>
      <c r="S68" s="100" t="s">
        <v>293</v>
      </c>
      <c r="T68" s="100"/>
      <c r="U68" s="100"/>
    </row>
    <row r="69" spans="1:21" s="64" customFormat="1">
      <c r="A69" s="283"/>
      <c r="B69" s="523"/>
      <c r="C69" s="170" t="s">
        <v>139</v>
      </c>
      <c r="D69" s="162"/>
      <c r="E69" s="355">
        <v>7</v>
      </c>
      <c r="F69" s="162"/>
      <c r="G69" s="367">
        <v>58</v>
      </c>
      <c r="H69" s="206"/>
      <c r="I69" s="203" t="str">
        <f>IF(ISBLANK(Instructions!$D$34),"",IF(Instructions!D34="Megalitres (thousand cubic metres)","metres (head)","psi"))</f>
        <v>psi</v>
      </c>
      <c r="J69" s="203"/>
      <c r="K69" s="203"/>
      <c r="L69" s="164"/>
      <c r="M69" s="517"/>
      <c r="N69" s="164"/>
      <c r="O69" s="164"/>
      <c r="P69" s="524"/>
      <c r="Q69" s="283"/>
    </row>
    <row r="70" spans="1:21" s="64" customFormat="1" ht="3" customHeight="1">
      <c r="A70" s="283"/>
      <c r="B70" s="523"/>
      <c r="C70" s="170"/>
      <c r="D70" s="162"/>
      <c r="E70" s="162"/>
      <c r="F70" s="162"/>
      <c r="G70" s="162"/>
      <c r="H70" s="162"/>
      <c r="I70" s="203"/>
      <c r="J70" s="203"/>
      <c r="K70" s="203"/>
      <c r="L70" s="164"/>
      <c r="M70" s="517"/>
      <c r="N70" s="164"/>
      <c r="O70" s="164"/>
      <c r="P70" s="524"/>
      <c r="Q70" s="283"/>
    </row>
    <row r="71" spans="1:21" s="64" customFormat="1">
      <c r="A71" s="283"/>
      <c r="B71" s="523"/>
      <c r="C71" s="692" t="str">
        <f>IF(ISBLANK(G69),"",IF(OR(AND(R71=1,G69&lt;=25),AND(R71&lt;&gt;1,G69&lt;=40)),"Note: Average pressure this low will not allow for calculation of UARL",""))</f>
        <v/>
      </c>
      <c r="D71" s="692"/>
      <c r="E71" s="692"/>
      <c r="F71" s="692"/>
      <c r="G71" s="692"/>
      <c r="H71" s="692"/>
      <c r="I71" s="692"/>
      <c r="J71" s="692"/>
      <c r="K71" s="692"/>
      <c r="L71" s="692"/>
      <c r="M71" s="207"/>
      <c r="N71" s="164"/>
      <c r="O71" s="164"/>
      <c r="P71" s="524"/>
      <c r="Q71" s="283"/>
      <c r="R71" s="64">
        <f>IF(Instructions!D34="Megalitres (thousand cubic metres)",1,0)</f>
        <v>0</v>
      </c>
    </row>
    <row r="72" spans="1:21" s="64" customFormat="1" ht="2.25" customHeight="1">
      <c r="A72" s="283"/>
      <c r="B72" s="523"/>
      <c r="C72" s="167"/>
      <c r="D72" s="166"/>
      <c r="E72" s="166"/>
      <c r="F72" s="166"/>
      <c r="G72" s="166"/>
      <c r="H72" s="166"/>
      <c r="I72" s="166"/>
      <c r="J72" s="166"/>
      <c r="K72" s="166"/>
      <c r="L72" s="166"/>
      <c r="M72" s="166"/>
      <c r="N72" s="166"/>
      <c r="O72" s="166"/>
      <c r="P72" s="524"/>
      <c r="Q72" s="283"/>
    </row>
    <row r="73" spans="1:21" s="64" customFormat="1" ht="6" customHeight="1">
      <c r="A73" s="283"/>
      <c r="B73" s="523"/>
      <c r="C73" s="162"/>
      <c r="D73" s="162"/>
      <c r="E73" s="199"/>
      <c r="F73" s="162"/>
      <c r="G73" s="164"/>
      <c r="H73" s="164"/>
      <c r="I73" s="164"/>
      <c r="J73" s="164"/>
      <c r="K73" s="164"/>
      <c r="L73" s="164"/>
      <c r="M73" s="164"/>
      <c r="N73" s="164"/>
      <c r="O73" s="164"/>
      <c r="P73" s="524"/>
      <c r="Q73" s="283"/>
    </row>
    <row r="74" spans="1:21" s="64" customFormat="1" ht="13.5" customHeight="1">
      <c r="A74" s="283"/>
      <c r="B74" s="523"/>
      <c r="C74" s="162" t="s">
        <v>72</v>
      </c>
      <c r="D74" s="162"/>
      <c r="E74" s="199"/>
      <c r="F74" s="162"/>
      <c r="G74" s="208"/>
      <c r="H74" s="164"/>
      <c r="I74" s="164"/>
      <c r="J74" s="164"/>
      <c r="K74" s="164"/>
      <c r="L74" s="164"/>
      <c r="M74" s="164"/>
      <c r="N74" s="164"/>
      <c r="O74" s="164"/>
      <c r="P74" s="524"/>
      <c r="Q74" s="283"/>
    </row>
    <row r="75" spans="1:21" s="64" customFormat="1" ht="5.25" customHeight="1">
      <c r="A75" s="283"/>
      <c r="B75" s="523"/>
      <c r="C75" s="162"/>
      <c r="D75" s="162"/>
      <c r="E75" s="199"/>
      <c r="F75" s="162"/>
      <c r="G75" s="164"/>
      <c r="H75" s="164"/>
      <c r="I75" s="164"/>
      <c r="J75" s="164"/>
      <c r="K75" s="164"/>
      <c r="L75" s="164"/>
      <c r="M75" s="164"/>
      <c r="N75" s="164"/>
      <c r="O75" s="164"/>
      <c r="P75" s="524"/>
      <c r="Q75" s="283"/>
    </row>
    <row r="76" spans="1:21" s="64" customFormat="1" ht="14.25" customHeight="1">
      <c r="A76" s="283"/>
      <c r="B76" s="523"/>
      <c r="C76" s="170" t="s">
        <v>140</v>
      </c>
      <c r="D76" s="175"/>
      <c r="E76" s="355">
        <v>10</v>
      </c>
      <c r="F76" s="164"/>
      <c r="G76" s="371">
        <v>600000</v>
      </c>
      <c r="H76" s="164"/>
      <c r="I76" s="203" t="s">
        <v>76</v>
      </c>
      <c r="J76" s="203"/>
      <c r="K76" s="203"/>
      <c r="L76" s="164"/>
      <c r="M76" s="164"/>
      <c r="N76" s="164"/>
      <c r="O76" s="164"/>
      <c r="P76" s="524"/>
      <c r="Q76" s="283"/>
    </row>
    <row r="77" spans="1:21" s="64" customFormat="1" ht="14.25" customHeight="1">
      <c r="A77" s="283"/>
      <c r="B77" s="523"/>
      <c r="C77" s="170" t="s">
        <v>129</v>
      </c>
      <c r="D77" s="175"/>
      <c r="E77" s="355">
        <v>10</v>
      </c>
      <c r="F77" s="164"/>
      <c r="G77" s="372">
        <v>7.5</v>
      </c>
      <c r="H77" s="164"/>
      <c r="I77" s="694" t="s">
        <v>188</v>
      </c>
      <c r="J77" s="695"/>
      <c r="K77" s="695"/>
      <c r="L77" s="696"/>
      <c r="M77" s="697"/>
      <c r="N77" s="711" t="str">
        <f>IF(AND(NOT(ISBLANK(G77)),ISBLANK(I77)),"&lt;--Enter units","")</f>
        <v/>
      </c>
      <c r="O77" s="711"/>
      <c r="P77" s="524"/>
      <c r="Q77" s="283"/>
      <c r="S77" s="373"/>
      <c r="T77" s="373"/>
      <c r="U77" s="373"/>
    </row>
    <row r="78" spans="1:21" s="64" customFormat="1" ht="13.5" customHeight="1">
      <c r="A78" s="283"/>
      <c r="B78" s="523"/>
      <c r="C78" s="170" t="s">
        <v>130</v>
      </c>
      <c r="D78" s="175"/>
      <c r="E78" s="355">
        <v>10</v>
      </c>
      <c r="F78" s="164"/>
      <c r="G78" s="372">
        <v>4000</v>
      </c>
      <c r="H78" s="164"/>
      <c r="I78" s="174" t="str">
        <f>"$/"&amp;IF(Instructions!$D$34="million gallons (US)","Million gallons",IF(Instructions!$D$34="Megalitres (thousand cubic metres)","Megalitre",IF(Instructions!$D$34="acre-feet","acre-ft","")))</f>
        <v>$/Million gallons</v>
      </c>
      <c r="J78" s="174"/>
      <c r="K78" s="174"/>
      <c r="L78" s="164"/>
      <c r="M78" s="164"/>
      <c r="N78" s="208"/>
      <c r="O78" s="164"/>
      <c r="P78" s="524"/>
      <c r="Q78" s="283"/>
    </row>
    <row r="79" spans="1:21" s="64" customFormat="1" ht="2.25" customHeight="1">
      <c r="A79" s="283"/>
      <c r="B79" s="523"/>
      <c r="C79" s="162"/>
      <c r="D79" s="162"/>
      <c r="E79" s="209"/>
      <c r="F79" s="162"/>
      <c r="G79" s="164"/>
      <c r="H79" s="164"/>
      <c r="I79" s="164"/>
      <c r="J79" s="164"/>
      <c r="K79" s="164"/>
      <c r="L79" s="164"/>
      <c r="M79" s="164"/>
      <c r="N79" s="164"/>
      <c r="O79" s="164"/>
      <c r="P79" s="524"/>
      <c r="Q79" s="283"/>
    </row>
    <row r="80" spans="1:21" s="64" customFormat="1" ht="13.5" customHeight="1">
      <c r="A80" s="283"/>
      <c r="B80" s="523"/>
      <c r="C80" s="693" t="str">
        <f>IF(OR(ISBLANK(I77),ISBLANK(I78),ISBLANK(G78),ISBLANK(Instructions!D34)),"",IF(G77*INDEX(Sheet1!B2:D4,MATCH(Instructions!D34,Sheet1!A2:A4,0),MATCH(I77,Sheet1!B1:D1,0))/G78&gt;1,"","Retail costs are less than (or equal to) production costs; please review and correct if necessary"))</f>
        <v/>
      </c>
      <c r="D80" s="693"/>
      <c r="E80" s="693"/>
      <c r="F80" s="693"/>
      <c r="G80" s="693"/>
      <c r="H80" s="693"/>
      <c r="I80" s="693"/>
      <c r="J80" s="693"/>
      <c r="K80" s="693"/>
      <c r="L80" s="693"/>
      <c r="M80" s="693"/>
      <c r="N80" s="693"/>
      <c r="O80" s="164"/>
      <c r="P80" s="524"/>
      <c r="Q80" s="283"/>
      <c r="R80" s="64">
        <f>IF(OR(ISBLANK(I77),ISBLANK(I78),ISBLANK(G78)),"",IF(G77*INDEX(Sheet1!B2:D4,MATCH(Instructions!D34,Sheet1!A2:A4,0),MATCH(I77,Sheet1!B1:D1,0))/G78&gt;1,0,1))</f>
        <v>0</v>
      </c>
    </row>
    <row r="81" spans="1:18" s="64" customFormat="1" ht="2.25" customHeight="1">
      <c r="A81" s="283"/>
      <c r="B81" s="523"/>
      <c r="C81" s="167"/>
      <c r="D81" s="167"/>
      <c r="E81" s="168"/>
      <c r="F81" s="167"/>
      <c r="G81" s="166"/>
      <c r="H81" s="166"/>
      <c r="I81" s="166"/>
      <c r="J81" s="166"/>
      <c r="K81" s="166"/>
      <c r="L81" s="166"/>
      <c r="M81" s="166"/>
      <c r="N81" s="166"/>
      <c r="O81" s="166"/>
      <c r="P81" s="524"/>
      <c r="Q81" s="283"/>
    </row>
    <row r="82" spans="1:18" s="64" customFormat="1" ht="6" customHeight="1">
      <c r="A82" s="283"/>
      <c r="B82" s="523"/>
      <c r="C82" s="210"/>
      <c r="D82" s="162"/>
      <c r="E82" s="163"/>
      <c r="F82" s="162"/>
      <c r="G82" s="164"/>
      <c r="H82" s="164"/>
      <c r="I82" s="164"/>
      <c r="J82" s="164"/>
      <c r="K82" s="164"/>
      <c r="L82" s="164"/>
      <c r="M82" s="164"/>
      <c r="N82" s="164"/>
      <c r="O82" s="164"/>
      <c r="P82" s="524"/>
      <c r="Q82" s="283"/>
    </row>
    <row r="83" spans="1:18" s="102" customFormat="1" ht="21" customHeight="1">
      <c r="A83" s="376"/>
      <c r="B83" s="531"/>
      <c r="C83" s="85" t="s">
        <v>286</v>
      </c>
      <c r="D83" s="83"/>
      <c r="E83" s="84"/>
      <c r="F83" s="83"/>
      <c r="G83" s="83"/>
      <c r="H83" s="86"/>
      <c r="I83" s="86"/>
      <c r="J83" s="86"/>
      <c r="K83" s="86"/>
      <c r="L83" s="86"/>
      <c r="M83" s="87"/>
      <c r="N83" s="86"/>
      <c r="O83" s="86"/>
      <c r="P83" s="532"/>
      <c r="Q83" s="376"/>
    </row>
    <row r="84" spans="1:18" s="102" customFormat="1" ht="2.25" customHeight="1">
      <c r="A84" s="376"/>
      <c r="B84" s="531"/>
      <c r="C84" s="85"/>
      <c r="D84" s="83"/>
      <c r="E84" s="84"/>
      <c r="F84" s="83"/>
      <c r="G84" s="83"/>
      <c r="H84" s="86"/>
      <c r="I84" s="86"/>
      <c r="J84" s="86"/>
      <c r="K84" s="86"/>
      <c r="L84" s="86"/>
      <c r="M84" s="87"/>
      <c r="N84" s="86"/>
      <c r="O84" s="86"/>
      <c r="P84" s="532"/>
      <c r="Q84" s="376"/>
    </row>
    <row r="85" spans="1:18" s="103" customFormat="1" ht="22.5" customHeight="1">
      <c r="A85" s="377"/>
      <c r="B85" s="531"/>
      <c r="C85" s="701" t="str">
        <f>IF(ISERROR(GradingAssessment!M24),"",IF(GradingAssessment!M24&lt;=0,"*** YOUR SCORE IS: "&amp;ROUND(GradingAssessment!G24,0)&amp;" out of 100 ***",IF(GradingAssessment!M24&gt;0,"Add a grading value for "&amp;GradingAssessment!M24&amp;" parameter(s) to enable an audit score to be calculated")))</f>
        <v>*** YOUR SCORE IS: 74 out of 100 ***</v>
      </c>
      <c r="D85" s="702"/>
      <c r="E85" s="702"/>
      <c r="F85" s="702"/>
      <c r="G85" s="702"/>
      <c r="H85" s="702"/>
      <c r="I85" s="702"/>
      <c r="J85" s="702"/>
      <c r="K85" s="702"/>
      <c r="L85" s="702"/>
      <c r="M85" s="702"/>
      <c r="N85" s="702"/>
      <c r="O85" s="703"/>
      <c r="P85" s="533"/>
      <c r="Q85" s="377"/>
      <c r="R85" s="131">
        <f>GradingAssessment!M24</f>
        <v>0</v>
      </c>
    </row>
    <row r="86" spans="1:18" s="103" customFormat="1" ht="2.25" customHeight="1">
      <c r="A86" s="377"/>
      <c r="B86" s="531"/>
      <c r="C86" s="516"/>
      <c r="D86" s="88"/>
      <c r="E86" s="84"/>
      <c r="F86" s="89"/>
      <c r="G86" s="88"/>
      <c r="H86" s="90"/>
      <c r="I86" s="90"/>
      <c r="J86" s="90"/>
      <c r="K86" s="90"/>
      <c r="L86" s="90"/>
      <c r="M86" s="91"/>
      <c r="N86" s="90"/>
      <c r="O86" s="90"/>
      <c r="P86" s="533"/>
      <c r="Q86" s="377"/>
      <c r="R86" s="131"/>
    </row>
    <row r="87" spans="1:18" s="103" customFormat="1" ht="19.5" customHeight="1">
      <c r="A87" s="377"/>
      <c r="B87" s="531"/>
      <c r="C87" s="704" t="str">
        <f>IF(ISERROR(GradingAssessment!M24),"",IF(GradingAssessment!M24&lt;=0,"A weighted scale for the components of consumption and water loss is included in the calculation of the Water Audit Data Validity Score",""))</f>
        <v>A weighted scale for the components of consumption and water loss is included in the calculation of the Water Audit Data Validity Score</v>
      </c>
      <c r="D87" s="704"/>
      <c r="E87" s="704"/>
      <c r="F87" s="704"/>
      <c r="G87" s="704"/>
      <c r="H87" s="704"/>
      <c r="I87" s="704"/>
      <c r="J87" s="704"/>
      <c r="K87" s="704"/>
      <c r="L87" s="704"/>
      <c r="M87" s="704"/>
      <c r="N87" s="704"/>
      <c r="O87" s="704"/>
      <c r="P87" s="533"/>
      <c r="Q87" s="377"/>
      <c r="R87" s="131"/>
    </row>
    <row r="88" spans="1:18" s="97" customFormat="1" ht="21.75" customHeight="1">
      <c r="A88" s="378"/>
      <c r="B88" s="531"/>
      <c r="C88" s="105" t="s">
        <v>287</v>
      </c>
      <c r="D88" s="705"/>
      <c r="E88" s="706"/>
      <c r="F88" s="706"/>
      <c r="G88" s="706"/>
      <c r="H88" s="706"/>
      <c r="I88" s="706"/>
      <c r="J88" s="706"/>
      <c r="K88" s="706"/>
      <c r="L88" s="706"/>
      <c r="M88" s="706"/>
      <c r="N88" s="706"/>
      <c r="O88" s="706"/>
      <c r="P88" s="534"/>
      <c r="Q88" s="378"/>
    </row>
    <row r="89" spans="1:18" s="97" customFormat="1" ht="19.5" customHeight="1">
      <c r="A89" s="378"/>
      <c r="B89" s="531"/>
      <c r="C89" s="691" t="s">
        <v>237</v>
      </c>
      <c r="D89" s="691"/>
      <c r="E89" s="691"/>
      <c r="F89" s="691"/>
      <c r="G89" s="691"/>
      <c r="H89" s="691"/>
      <c r="I89" s="691"/>
      <c r="J89" s="691"/>
      <c r="K89" s="691"/>
      <c r="L89" s="691"/>
      <c r="M89" s="691"/>
      <c r="N89" s="691"/>
      <c r="O89" s="691"/>
      <c r="P89" s="534"/>
      <c r="Q89" s="378"/>
    </row>
    <row r="90" spans="1:18" s="97" customFormat="1" ht="15" customHeight="1">
      <c r="A90" s="378"/>
      <c r="B90" s="531"/>
      <c r="C90" s="92" t="str">
        <f ca="1">IF(ISERROR(GradingAssessment!M24),"","     1: "&amp;VLOOKUP(1,GradingAssessment!$I$4:$J$23,2,FALSE))</f>
        <v xml:space="preserve">     1: Water imported</v>
      </c>
      <c r="D90" s="80"/>
      <c r="E90" s="81"/>
      <c r="F90" s="80"/>
      <c r="G90" s="82"/>
      <c r="H90" s="82"/>
      <c r="I90" s="82"/>
      <c r="J90" s="82"/>
      <c r="K90" s="82"/>
      <c r="L90" s="82"/>
      <c r="M90" s="82"/>
      <c r="N90" s="82"/>
      <c r="O90" s="82"/>
      <c r="P90" s="534"/>
      <c r="Q90" s="378"/>
    </row>
    <row r="91" spans="1:18" s="97" customFormat="1" ht="5.25" customHeight="1">
      <c r="A91" s="378"/>
      <c r="B91" s="531"/>
      <c r="C91" s="93"/>
      <c r="D91" s="80"/>
      <c r="E91" s="81"/>
      <c r="F91" s="80"/>
      <c r="G91" s="82"/>
      <c r="H91" s="82"/>
      <c r="I91" s="82"/>
      <c r="J91" s="82"/>
      <c r="K91" s="82"/>
      <c r="L91" s="82"/>
      <c r="M91" s="82"/>
      <c r="N91" s="82"/>
      <c r="O91" s="82"/>
      <c r="P91" s="534"/>
      <c r="Q91" s="378"/>
    </row>
    <row r="92" spans="1:18" s="97" customFormat="1" ht="15" customHeight="1">
      <c r="A92" s="378"/>
      <c r="B92" s="531"/>
      <c r="C92" s="92" t="str">
        <f ca="1">IF(ISERROR(GradingAssessment!M24),"","     2: "&amp;VLOOKUP(2,GradingAssessment!$I$4:$J$23,2,FALSE))</f>
        <v xml:space="preserve">     2: Billed metered</v>
      </c>
      <c r="D92" s="80"/>
      <c r="E92" s="81"/>
      <c r="F92" s="80"/>
      <c r="G92" s="82"/>
      <c r="H92" s="82"/>
      <c r="I92" s="82"/>
      <c r="J92" s="82"/>
      <c r="K92" s="82"/>
      <c r="L92" s="82"/>
      <c r="M92" s="82"/>
      <c r="N92" s="82"/>
      <c r="O92" s="82"/>
      <c r="P92" s="534"/>
      <c r="Q92" s="378"/>
    </row>
    <row r="93" spans="1:18" s="97" customFormat="1" ht="5.25" customHeight="1">
      <c r="A93" s="378"/>
      <c r="B93" s="531"/>
      <c r="C93" s="93"/>
      <c r="D93" s="80"/>
      <c r="E93" s="81"/>
      <c r="F93" s="80"/>
      <c r="G93" s="82"/>
      <c r="H93" s="82"/>
      <c r="I93" s="82"/>
      <c r="J93" s="82"/>
      <c r="K93" s="82"/>
      <c r="L93" s="82"/>
      <c r="M93" s="82"/>
      <c r="N93" s="82"/>
      <c r="O93" s="82"/>
      <c r="P93" s="534"/>
      <c r="Q93" s="378"/>
    </row>
    <row r="94" spans="1:18" s="97" customFormat="1" ht="15" customHeight="1">
      <c r="A94" s="378"/>
      <c r="B94" s="531"/>
      <c r="C94" s="92" t="str">
        <f ca="1">IF(ISERROR(GradingAssessment!M24),"","     3: "&amp;VLOOKUP(3,GradingAssessment!$I$4:$J$23,2,FALSE))</f>
        <v xml:space="preserve">     3: Unauthorized consumption</v>
      </c>
      <c r="D94" s="80"/>
      <c r="E94" s="81"/>
      <c r="F94" s="80"/>
      <c r="G94" s="82"/>
      <c r="H94" s="82"/>
      <c r="I94" s="82"/>
      <c r="J94" s="82"/>
      <c r="K94" s="82"/>
      <c r="L94" s="82"/>
      <c r="M94" s="82"/>
      <c r="N94" s="82"/>
      <c r="O94" s="82"/>
      <c r="P94" s="534"/>
      <c r="Q94" s="378"/>
    </row>
    <row r="95" spans="1:18" s="97" customFormat="1" ht="14.25" customHeight="1" thickBot="1">
      <c r="A95" s="378"/>
      <c r="B95" s="535"/>
      <c r="C95" s="536"/>
      <c r="D95" s="537"/>
      <c r="E95" s="538"/>
      <c r="F95" s="537"/>
      <c r="G95" s="539"/>
      <c r="H95" s="539"/>
      <c r="I95" s="539"/>
      <c r="J95" s="539"/>
      <c r="K95" s="539"/>
      <c r="L95" s="539"/>
      <c r="M95" s="539"/>
      <c r="N95" s="539"/>
      <c r="O95" s="539"/>
      <c r="P95" s="540"/>
      <c r="Q95" s="378"/>
    </row>
    <row r="96" spans="1:18" s="104" customFormat="1" ht="6.6" customHeight="1" thickTop="1">
      <c r="A96" s="379"/>
      <c r="B96" s="379"/>
      <c r="C96" s="379"/>
      <c r="D96" s="379"/>
      <c r="E96" s="383"/>
      <c r="F96" s="379"/>
      <c r="G96" s="379"/>
      <c r="H96" s="379"/>
      <c r="I96" s="379"/>
      <c r="J96" s="379"/>
      <c r="K96" s="379"/>
      <c r="L96" s="379"/>
      <c r="M96" s="379"/>
      <c r="N96" s="379"/>
      <c r="O96" s="379"/>
      <c r="P96" s="379"/>
      <c r="Q96" s="379"/>
    </row>
    <row r="97" spans="1:17" s="104" customFormat="1" ht="13.8" hidden="1">
      <c r="A97" s="379"/>
      <c r="B97" s="82"/>
      <c r="C97" s="82"/>
      <c r="D97" s="82"/>
      <c r="E97" s="94"/>
      <c r="F97" s="82"/>
      <c r="G97" s="82"/>
      <c r="H97" s="82"/>
      <c r="I97" s="82"/>
      <c r="J97" s="82"/>
      <c r="K97" s="82"/>
      <c r="L97" s="82"/>
      <c r="M97" s="82"/>
      <c r="N97" s="82"/>
      <c r="O97" s="82"/>
      <c r="P97" s="82"/>
      <c r="Q97" s="379"/>
    </row>
    <row r="98" spans="1:17" s="104" customFormat="1" ht="13.8" hidden="1">
      <c r="A98" s="379"/>
      <c r="B98" s="82"/>
      <c r="C98" s="82"/>
      <c r="D98" s="82"/>
      <c r="E98" s="94"/>
      <c r="F98" s="82"/>
      <c r="G98" s="82"/>
      <c r="H98" s="82"/>
      <c r="I98" s="82"/>
      <c r="J98" s="82"/>
      <c r="K98" s="82"/>
      <c r="L98" s="82"/>
      <c r="M98" s="82"/>
      <c r="N98" s="82"/>
      <c r="O98" s="82"/>
      <c r="P98" s="82"/>
      <c r="Q98" s="379"/>
    </row>
    <row r="99" spans="1:17" s="104" customFormat="1" ht="13.8" hidden="1">
      <c r="A99" s="379"/>
      <c r="B99" s="82"/>
      <c r="C99" s="82"/>
      <c r="D99" s="82"/>
      <c r="E99" s="94"/>
      <c r="F99" s="82"/>
      <c r="G99" s="82"/>
      <c r="H99" s="82"/>
      <c r="I99" s="82"/>
      <c r="J99" s="82"/>
      <c r="K99" s="82"/>
      <c r="L99" s="82"/>
      <c r="M99" s="82"/>
      <c r="N99" s="82"/>
      <c r="O99" s="82"/>
      <c r="P99" s="82"/>
      <c r="Q99" s="379"/>
    </row>
    <row r="100" spans="1:17" hidden="1">
      <c r="G100" s="75"/>
      <c r="H100" s="75"/>
      <c r="I100" s="75"/>
      <c r="J100" s="75"/>
      <c r="K100" s="75"/>
    </row>
    <row r="101" spans="1:17" hidden="1"/>
    <row r="102" spans="1:17" hidden="1"/>
    <row r="103" spans="1:17" hidden="1"/>
    <row r="104" spans="1:17" hidden="1"/>
    <row r="105" spans="1:17" hidden="1"/>
    <row r="106" spans="1:17" hidden="1"/>
    <row r="107" spans="1:17" hidden="1"/>
    <row r="108" spans="1:17" hidden="1"/>
    <row r="109" spans="1:17" hidden="1"/>
    <row r="110" spans="1:17" hidden="1"/>
    <row r="111" spans="1:17" hidden="1"/>
    <row r="112" spans="1:17"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t="15" hidden="1" customHeight="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sheetData>
  <sheetProtection password="8B16" sheet="1" objects="1" scenarios="1"/>
  <mergeCells count="30">
    <mergeCell ref="N77:O77"/>
    <mergeCell ref="B2:P2"/>
    <mergeCell ref="C28:L28"/>
    <mergeCell ref="M35:M36"/>
    <mergeCell ref="N26:O26"/>
    <mergeCell ref="C7:O8"/>
    <mergeCell ref="D5:E5"/>
    <mergeCell ref="G5:H5"/>
    <mergeCell ref="D4:M4"/>
    <mergeCell ref="C32:L32"/>
    <mergeCell ref="C12:G12"/>
    <mergeCell ref="D13:J13"/>
    <mergeCell ref="N15:O15"/>
    <mergeCell ref="N16:O16"/>
    <mergeCell ref="N38:O38"/>
    <mergeCell ref="N17:O17"/>
    <mergeCell ref="C89:O89"/>
    <mergeCell ref="C71:L71"/>
    <mergeCell ref="C80:N80"/>
    <mergeCell ref="I77:M77"/>
    <mergeCell ref="C40:L40"/>
    <mergeCell ref="C49:L49"/>
    <mergeCell ref="N43:O43"/>
    <mergeCell ref="C85:O85"/>
    <mergeCell ref="C87:O87"/>
    <mergeCell ref="D88:O88"/>
    <mergeCell ref="C45:L45"/>
    <mergeCell ref="C68:L68"/>
    <mergeCell ref="C65:C66"/>
    <mergeCell ref="N42:O42"/>
  </mergeCells>
  <phoneticPr fontId="0" type="noConversion"/>
  <conditionalFormatting sqref="L9:O9 C9:F9">
    <cfRule type="expression" dxfId="89" priority="67" stopIfTrue="1">
      <formula>E15=""=TRUE</formula>
    </cfRule>
  </conditionalFormatting>
  <conditionalFormatting sqref="N38">
    <cfRule type="expression" dxfId="88" priority="80" stopIfTrue="1">
      <formula>$R$38=1</formula>
    </cfRule>
  </conditionalFormatting>
  <conditionalFormatting sqref="N42:O42">
    <cfRule type="expression" dxfId="87" priority="81" stopIfTrue="1">
      <formula>$R$42=1</formula>
    </cfRule>
  </conditionalFormatting>
  <conditionalFormatting sqref="L38">
    <cfRule type="expression" dxfId="86" priority="82" stopIfTrue="1">
      <formula>$R$38=2</formula>
    </cfRule>
  </conditionalFormatting>
  <conditionalFormatting sqref="G41">
    <cfRule type="expression" dxfId="85" priority="83" stopIfTrue="1">
      <formula>$R$38=2</formula>
    </cfRule>
  </conditionalFormatting>
  <conditionalFormatting sqref="F29">
    <cfRule type="expression" dxfId="84" priority="84" stopIfTrue="1">
      <formula>$R$26=2</formula>
    </cfRule>
  </conditionalFormatting>
  <conditionalFormatting sqref="N26">
    <cfRule type="expression" dxfId="83" priority="85" stopIfTrue="1">
      <formula>$R$26=1</formula>
    </cfRule>
  </conditionalFormatting>
  <conditionalFormatting sqref="L26">
    <cfRule type="expression" dxfId="82" priority="86" stopIfTrue="1">
      <formula>$R$26=2</formula>
    </cfRule>
  </conditionalFormatting>
  <conditionalFormatting sqref="C49:L49">
    <cfRule type="expression" dxfId="81" priority="87" stopIfTrue="1">
      <formula>AND($G$47&gt;=$G$35,($G$47&lt;&gt;0))</formula>
    </cfRule>
  </conditionalFormatting>
  <conditionalFormatting sqref="C71:L71">
    <cfRule type="expression" dxfId="80" priority="88" stopIfTrue="1">
      <formula>OR(AND(NOT(ISBLANK($G$69)),$R$71=1,$G$69&lt;=25),AND(NOT(ISBLANK($G$69)),$R$71&lt;&gt;1,$G$69&lt;=40))</formula>
    </cfRule>
  </conditionalFormatting>
  <conditionalFormatting sqref="C80:N80">
    <cfRule type="expression" dxfId="79" priority="89" stopIfTrue="1">
      <formula>$R$80=1</formula>
    </cfRule>
  </conditionalFormatting>
  <conditionalFormatting sqref="C28:L28">
    <cfRule type="expression" dxfId="78" priority="90" stopIfTrue="1">
      <formula>AND($R$26=2,$N$26&gt;0.125*$G$19)</formula>
    </cfRule>
    <cfRule type="expression" dxfId="77" priority="91" stopIfTrue="1">
      <formula>$R$26=1</formula>
    </cfRule>
    <cfRule type="expression" dxfId="76" priority="92" stopIfTrue="1">
      <formula>AND($R$26=2,$N$26=0)</formula>
    </cfRule>
  </conditionalFormatting>
  <conditionalFormatting sqref="C40:L40">
    <cfRule type="expression" dxfId="75" priority="93" stopIfTrue="1">
      <formula>AND($R$38=2,$N$38&gt;0.025*$G$19)</formula>
    </cfRule>
    <cfRule type="expression" dxfId="74" priority="94" stopIfTrue="1">
      <formula>OR($R$38=1,AND($R38=2,N38=0))</formula>
    </cfRule>
  </conditionalFormatting>
  <conditionalFormatting sqref="N77:O77">
    <cfRule type="expression" dxfId="73" priority="96" stopIfTrue="1">
      <formula>AND(NOT(ISBLANK($G$77)),ISBLANK($I$77))</formula>
    </cfRule>
  </conditionalFormatting>
  <conditionalFormatting sqref="L42">
    <cfRule type="expression" dxfId="72" priority="100" stopIfTrue="1">
      <formula>$R$42=2</formula>
    </cfRule>
    <cfRule type="expression" dxfId="71" priority="101" stopIfTrue="1">
      <formula>AND($R$42=1,ISBLANK(L42))</formula>
    </cfRule>
  </conditionalFormatting>
  <conditionalFormatting sqref="C45:L45">
    <cfRule type="expression" dxfId="70" priority="7" stopIfTrue="1">
      <formula>$R$43=1</formula>
    </cfRule>
    <cfRule type="expression" dxfId="69" priority="108" stopIfTrue="1">
      <formula>AND(NOT($E$43="n/a"),OR(ISBLANK($G$43),$G$43=0),$G$19&lt;&gt;0)</formula>
    </cfRule>
  </conditionalFormatting>
  <conditionalFormatting sqref="K9">
    <cfRule type="expression" dxfId="68" priority="111" stopIfTrue="1">
      <formula>N15=""=TRUE</formula>
    </cfRule>
  </conditionalFormatting>
  <conditionalFormatting sqref="H9:J9">
    <cfRule type="expression" dxfId="67" priority="114" stopIfTrue="1">
      <formula>L15=""=TRUE</formula>
    </cfRule>
  </conditionalFormatting>
  <conditionalFormatting sqref="L17">
    <cfRule type="expression" dxfId="66" priority="53" stopIfTrue="1">
      <formula>R17=2</formula>
    </cfRule>
  </conditionalFormatting>
  <conditionalFormatting sqref="N17:O17">
    <cfRule type="expression" dxfId="65" priority="52" stopIfTrue="1">
      <formula>$R$17=1</formula>
    </cfRule>
  </conditionalFormatting>
  <conditionalFormatting sqref="L16">
    <cfRule type="expression" dxfId="64" priority="51" stopIfTrue="1">
      <formula>R16=2</formula>
    </cfRule>
  </conditionalFormatting>
  <conditionalFormatting sqref="L15">
    <cfRule type="expression" dxfId="63" priority="50" stopIfTrue="1">
      <formula>R15=2</formula>
    </cfRule>
  </conditionalFormatting>
  <conditionalFormatting sqref="N16:O16">
    <cfRule type="expression" dxfId="62" priority="49" stopIfTrue="1">
      <formula>$R$16=1</formula>
    </cfRule>
  </conditionalFormatting>
  <conditionalFormatting sqref="N15:O15">
    <cfRule type="expression" dxfId="61" priority="48" stopIfTrue="1">
      <formula>$R$15=1</formula>
    </cfRule>
  </conditionalFormatting>
  <conditionalFormatting sqref="F86">
    <cfRule type="expression" dxfId="60" priority="43" stopIfTrue="1">
      <formula>"B106=0"</formula>
    </cfRule>
  </conditionalFormatting>
  <conditionalFormatting sqref="A85:A87 P85:IV87 D86 G86:O86">
    <cfRule type="expression" dxfId="59" priority="44" stopIfTrue="1">
      <formula>"M22=0"</formula>
    </cfRule>
  </conditionalFormatting>
  <conditionalFormatting sqref="G9">
    <cfRule type="expression" dxfId="58" priority="132" stopIfTrue="1">
      <formula>G12=""=TRUE</formula>
    </cfRule>
  </conditionalFormatting>
  <conditionalFormatting sqref="L43">
    <cfRule type="expression" dxfId="57" priority="19" stopIfTrue="1">
      <formula>$R$43=2</formula>
    </cfRule>
  </conditionalFormatting>
  <conditionalFormatting sqref="N43">
    <cfRule type="expression" dxfId="56" priority="18" stopIfTrue="1">
      <formula>$R$43=1</formula>
    </cfRule>
  </conditionalFormatting>
  <conditionalFormatting sqref="J15 L15 N15">
    <cfRule type="expression" dxfId="55" priority="16" stopIfTrue="1">
      <formula>$G$15&lt;=0</formula>
    </cfRule>
  </conditionalFormatting>
  <conditionalFormatting sqref="J16 L16 N16">
    <cfRule type="expression" dxfId="54" priority="15" stopIfTrue="1">
      <formula>$G$16&lt;=0</formula>
    </cfRule>
  </conditionalFormatting>
  <conditionalFormatting sqref="J17 L17 N17">
    <cfRule type="expression" dxfId="53" priority="13" stopIfTrue="1">
      <formula>$G$17&lt;=0</formula>
    </cfRule>
  </conditionalFormatting>
  <conditionalFormatting sqref="C67">
    <cfRule type="expression" dxfId="52" priority="136" stopIfTrue="1">
      <formula>$R$66=1</formula>
    </cfRule>
  </conditionalFormatting>
  <conditionalFormatting sqref="E67 I67">
    <cfRule type="expression" dxfId="51" priority="134" stopIfTrue="1">
      <formula>$G$66="Yes"</formula>
    </cfRule>
  </conditionalFormatting>
  <conditionalFormatting sqref="G67">
    <cfRule type="expression" dxfId="50" priority="5" stopIfTrue="1">
      <formula>$G$66="Yes"</formula>
    </cfRule>
  </conditionalFormatting>
  <conditionalFormatting sqref="E26">
    <cfRule type="expression" dxfId="49" priority="4">
      <formula>OR(R26=1,AND(R26=2,N26=0))</formula>
    </cfRule>
  </conditionalFormatting>
  <conditionalFormatting sqref="E38">
    <cfRule type="expression" dxfId="48" priority="3" stopIfTrue="1">
      <formula>OR(R38=1,AND(R38=2,N38=0))</formula>
    </cfRule>
  </conditionalFormatting>
  <conditionalFormatting sqref="E43">
    <cfRule type="expression" dxfId="47" priority="2" stopIfTrue="1">
      <formula>$R$43=1</formula>
    </cfRule>
  </conditionalFormatting>
  <dataValidations xWindow="926" yWindow="772" count="17">
    <dataValidation type="decimal" operator="lessThanOrEqual" allowBlank="1" showInputMessage="1" showErrorMessage="1" errorTitle="WARNING: Please check this value" error="Unbilled unmetered consumption cannont be greater than Total System Input Volume. Please check the input value and try again." sqref="G29:H29" xr:uid="{00000000-0002-0000-0100-000000000000}">
      <formula1>G25</formula1>
    </dataValidation>
    <dataValidation type="decimal" operator="lessThanOrEqual" allowBlank="1" showInputMessage="1" showErrorMessage="1" errorTitle="WARNING: Please check this value" error="Billed metered consumption cannont be greater than Total System Input Volume. Please check the input value and try again." sqref="G18" xr:uid="{00000000-0002-0000-0100-000001000000}">
      <formula1>#REF!</formula1>
    </dataValidation>
    <dataValidation type="list" allowBlank="1" showInputMessage="1" showErrorMessage="1" errorTitle="Cost Data Units" error="You have not entered a valid option - please select from the drop down list" promptTitle="Cost Data Units" prompt="Please select the preferred reporting units from the drop down list" sqref="I77:M77" xr:uid="{00000000-0002-0000-0100-000002000000}">
      <formula1>"$/1000 gallons (US),$/1000 litres,$/100 cubic feet (ccf)"</formula1>
    </dataValidation>
    <dataValidation type="decimal" errorStyle="warning" operator="greaterThan" allowBlank="1" showErrorMessage="1" errorTitle="Customer Metering Inaccuracies" error="You tried to enter a zero value - this is only a valid value if the entire customer base is unmetered." sqref="H67 N42:O42" xr:uid="{00000000-0002-0000-0100-000003000000}">
      <formula1>0</formula1>
    </dataValidation>
    <dataValidation type="decimal" operator="lessThan" allowBlank="1" showInputMessage="1" showErrorMessage="1" errorTitle="Customer Metering Inaccuracies" error="Only values less than 10% are accepted. If you want to use a value of 10% or greater, calculate the equivalent quantity and enter as using the &quot;value&quot; option." sqref="L42:L43" xr:uid="{00000000-0002-0000-0100-000004000000}">
      <formula1>0.1</formula1>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N38:O38" xr:uid="{00000000-0002-0000-0100-000005000000}">
      <formula1>0</formula1>
      <formula2>G19</formula2>
    </dataValidation>
    <dataValidation type="decimal" operator="greaterThan" allowBlank="1" showErrorMessage="1" errorTitle="Unbilled Unmetered Consumption" error="You cannot enter a zero or negative value. Use the default percentage if you are unsure of actual unbilled unmetered consumption" promptTitle="Unbilled Unmetered Losses" prompt="Use the default percentage" sqref="N26:O26" xr:uid="{00000000-0002-0000-0100-000006000000}">
      <formula1>0</formula1>
    </dataValidation>
    <dataValidation type="list" allowBlank="1" showInputMessage="1" showErrorMessage="1" errorTitle="Component Grading" error="Please restrict your entry to 0 - 10. See the comment box attached to this cell or Grading Matrix worksheet for more information" sqref="E23:E25 E42 J15:J17 E15:E17 E77" xr:uid="{00000000-0002-0000-0100-000007000000}">
      <formula1>"n/a,1,2,3,4,5,6,7,8,9,10"</formula1>
    </dataValidation>
    <dataValidation type="list" allowBlank="1" showInputMessage="1" showErrorMessage="1" errorTitle="Component Grading" error="Please restrict your entry to 0 - 10. See the comment box attached to this cell or Grading Matrix worksheet for more information" sqref="E26 E38 E62:E63 E69 E43 E67 E76 E78" xr:uid="{00000000-0002-0000-0100-000008000000}">
      <formula1>"1,2,3,4,5,6,7,8,9,10"</formula1>
    </dataValidation>
    <dataValidation type="decimal" errorStyle="warning" allowBlank="1" showErrorMessage="1" errorTitle="Data Validation" error="Please check the value.  Verify you are using the correct units and that you are entering a value greater than or equal to zero." promptTitle="Data Validation" prompt="Enter a numerical value greater than or equal to zero" sqref="G62:G63 G23:G25 G15:G17" xr:uid="{00000000-0002-0000-0100-000009000000}">
      <formula1>0</formula1>
      <formula2>1000000</formula2>
    </dataValidation>
    <dataValidation type="decimal" operator="greaterThan" allowBlank="1" showErrorMessage="1" errorTitle="Data Validation" error="Enter a numerical value" promptTitle="Data Validation" prompt="Enter a numerical value greater than or equal to zero" sqref="G43" xr:uid="{00000000-0002-0000-0100-00000A000000}">
      <formula1>-1E+25</formula1>
    </dataValidation>
    <dataValidation type="decimal" errorStyle="warning" operator="lessThanOrEqual" allowBlank="1" showErrorMessage="1" errorTitle="Customer Service Lines" error="The value you entered is greater than an assumed maximum reasonable value." sqref="G67" xr:uid="{00000000-0002-0000-0100-00000B000000}">
      <formula1>100</formula1>
    </dataValidation>
    <dataValidation type="decimal" errorStyle="warning" operator="lessThanOrEqual" allowBlank="1" showErrorMessage="1" errorTitle="Average Operating Pressure" error="The value you entered is greater than an assumed maximum reasonable value." sqref="G69" xr:uid="{00000000-0002-0000-0100-00000C000000}">
      <formula1>200</formula1>
    </dataValidation>
    <dataValidation type="decimal" allowBlank="1" showInputMessage="1" showErrorMessage="1" sqref="N15:O17" xr:uid="{00000000-0002-0000-0100-00000D000000}">
      <formula1>-999999999</formula1>
      <formula2>999999999</formula2>
    </dataValidation>
    <dataValidation type="list" errorStyle="warning" operator="lessThanOrEqual" allowBlank="1" showErrorMessage="1" errorTitle="Average Operating Pressure" error="The value you entered is greater than an assumed maximum reasonable value." sqref="G66" xr:uid="{00000000-0002-0000-0100-00000E000000}">
      <formula1>"Select...,Yes,No"</formula1>
    </dataValidation>
    <dataValidation type="decimal" allowBlank="1" showErrorMessage="1" errorTitle="Systematic Data Handling Errors" error="Please enter a positive value; if you have entered a positive value, please check your units by comparing to other input values. Use the default percentage value if you are unsure of actual Systematic Data Handling Errors" sqref="N43:O43" xr:uid="{00000000-0002-0000-0100-00000F000000}">
      <formula1>0</formula1>
      <formula2>G19</formula2>
    </dataValidation>
    <dataValidation type="decimal" operator="greaterThan" allowBlank="1" showErrorMessage="1" errorTitle="Data Validation" error="Please check the value.  Enter a value greater than or equal to zero." promptTitle="Data Validation" prompt="Enter a numerical value greater than or equal to zero" sqref="G76:G78" xr:uid="{00000000-0002-0000-0100-000011000000}">
      <formula1>0</formula1>
    </dataValidation>
  </dataValidations>
  <printOptions horizontalCentered="1" verticalCentered="1" gridLines="1"/>
  <pageMargins left="0.35" right="0.35" top="0.49" bottom="0.42" header="0.22" footer="0.22"/>
  <pageSetup scale="64" orientation="portrait" horizontalDpi="1200" r:id="rId1"/>
  <headerFooter alignWithMargins="0">
    <oddFooter>&amp;CAWWA Free Water Audit Software v5.0&amp;R&amp;A      &amp;P</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118" r:id="rId4" name="Group Box 902">
              <controlPr defaultSize="0" autoFill="0" autoPict="0">
                <anchor moveWithCells="1" sizeWithCells="1">
                  <from>
                    <xdr:col>12</xdr:col>
                    <xdr:colOff>7620</xdr:colOff>
                    <xdr:row>14</xdr:row>
                    <xdr:rowOff>0</xdr:rowOff>
                  </from>
                  <to>
                    <xdr:col>12</xdr:col>
                    <xdr:colOff>609600</xdr:colOff>
                    <xdr:row>15</xdr:row>
                    <xdr:rowOff>0</xdr:rowOff>
                  </to>
                </anchor>
              </controlPr>
            </control>
          </mc:Choice>
        </mc:AlternateContent>
        <mc:AlternateContent xmlns:mc="http://schemas.openxmlformats.org/markup-compatibility/2006">
          <mc:Choice Requires="x14">
            <control shapeId="10119" r:id="rId5" name="Option Button 903">
              <controlPr defaultSize="0" autoFill="0" autoLine="0" autoPict="0">
                <anchor moveWithCells="1" sizeWithCells="1">
                  <from>
                    <xdr:col>12</xdr:col>
                    <xdr:colOff>45720</xdr:colOff>
                    <xdr:row>14</xdr:row>
                    <xdr:rowOff>22860</xdr:rowOff>
                  </from>
                  <to>
                    <xdr:col>12</xdr:col>
                    <xdr:colOff>342900</xdr:colOff>
                    <xdr:row>14</xdr:row>
                    <xdr:rowOff>160020</xdr:rowOff>
                  </to>
                </anchor>
              </controlPr>
            </control>
          </mc:Choice>
        </mc:AlternateContent>
        <mc:AlternateContent xmlns:mc="http://schemas.openxmlformats.org/markup-compatibility/2006">
          <mc:Choice Requires="x14">
            <control shapeId="10120" r:id="rId6" name="Option Button 904">
              <controlPr defaultSize="0" autoFill="0" autoLine="0" autoPict="0">
                <anchor moveWithCells="1" sizeWithCells="1">
                  <from>
                    <xdr:col>12</xdr:col>
                    <xdr:colOff>312420</xdr:colOff>
                    <xdr:row>14</xdr:row>
                    <xdr:rowOff>22860</xdr:rowOff>
                  </from>
                  <to>
                    <xdr:col>12</xdr:col>
                    <xdr:colOff>609600</xdr:colOff>
                    <xdr:row>14</xdr:row>
                    <xdr:rowOff>160020</xdr:rowOff>
                  </to>
                </anchor>
              </controlPr>
            </control>
          </mc:Choice>
        </mc:AlternateContent>
        <mc:AlternateContent xmlns:mc="http://schemas.openxmlformats.org/markup-compatibility/2006">
          <mc:Choice Requires="x14">
            <control shapeId="10122" r:id="rId7" name="Group Box 906">
              <controlPr defaultSize="0" autoFill="0" autoPict="0">
                <anchor moveWithCells="1" sizeWithCells="1">
                  <from>
                    <xdr:col>12</xdr:col>
                    <xdr:colOff>7620</xdr:colOff>
                    <xdr:row>15</xdr:row>
                    <xdr:rowOff>0</xdr:rowOff>
                  </from>
                  <to>
                    <xdr:col>12</xdr:col>
                    <xdr:colOff>609600</xdr:colOff>
                    <xdr:row>16</xdr:row>
                    <xdr:rowOff>0</xdr:rowOff>
                  </to>
                </anchor>
              </controlPr>
            </control>
          </mc:Choice>
        </mc:AlternateContent>
        <mc:AlternateContent xmlns:mc="http://schemas.openxmlformats.org/markup-compatibility/2006">
          <mc:Choice Requires="x14">
            <control shapeId="10123" r:id="rId8" name="Option Button 907">
              <controlPr defaultSize="0" autoFill="0" autoLine="0" autoPict="0">
                <anchor moveWithCells="1" sizeWithCells="1">
                  <from>
                    <xdr:col>12</xdr:col>
                    <xdr:colOff>45720</xdr:colOff>
                    <xdr:row>15</xdr:row>
                    <xdr:rowOff>22860</xdr:rowOff>
                  </from>
                  <to>
                    <xdr:col>12</xdr:col>
                    <xdr:colOff>342900</xdr:colOff>
                    <xdr:row>15</xdr:row>
                    <xdr:rowOff>160020</xdr:rowOff>
                  </to>
                </anchor>
              </controlPr>
            </control>
          </mc:Choice>
        </mc:AlternateContent>
        <mc:AlternateContent xmlns:mc="http://schemas.openxmlformats.org/markup-compatibility/2006">
          <mc:Choice Requires="x14">
            <control shapeId="10124" r:id="rId9" name="Option Button 908">
              <controlPr defaultSize="0" autoFill="0" autoLine="0" autoPict="0">
                <anchor moveWithCells="1" sizeWithCells="1">
                  <from>
                    <xdr:col>12</xdr:col>
                    <xdr:colOff>312420</xdr:colOff>
                    <xdr:row>15</xdr:row>
                    <xdr:rowOff>22860</xdr:rowOff>
                  </from>
                  <to>
                    <xdr:col>12</xdr:col>
                    <xdr:colOff>609600</xdr:colOff>
                    <xdr:row>15</xdr:row>
                    <xdr:rowOff>160020</xdr:rowOff>
                  </to>
                </anchor>
              </controlPr>
            </control>
          </mc:Choice>
        </mc:AlternateContent>
        <mc:AlternateContent xmlns:mc="http://schemas.openxmlformats.org/markup-compatibility/2006">
          <mc:Choice Requires="x14">
            <control shapeId="10126" r:id="rId10" name="Group Box 910">
              <controlPr defaultSize="0" autoFill="0" autoPict="0">
                <anchor moveWithCells="1" sizeWithCells="1">
                  <from>
                    <xdr:col>12</xdr:col>
                    <xdr:colOff>7620</xdr:colOff>
                    <xdr:row>16</xdr:row>
                    <xdr:rowOff>0</xdr:rowOff>
                  </from>
                  <to>
                    <xdr:col>12</xdr:col>
                    <xdr:colOff>609600</xdr:colOff>
                    <xdr:row>17</xdr:row>
                    <xdr:rowOff>0</xdr:rowOff>
                  </to>
                </anchor>
              </controlPr>
            </control>
          </mc:Choice>
        </mc:AlternateContent>
        <mc:AlternateContent xmlns:mc="http://schemas.openxmlformats.org/markup-compatibility/2006">
          <mc:Choice Requires="x14">
            <control shapeId="10127" r:id="rId11" name="Option Button 911">
              <controlPr defaultSize="0" autoFill="0" autoLine="0" autoPict="0">
                <anchor moveWithCells="1" sizeWithCells="1">
                  <from>
                    <xdr:col>12</xdr:col>
                    <xdr:colOff>45720</xdr:colOff>
                    <xdr:row>16</xdr:row>
                    <xdr:rowOff>22860</xdr:rowOff>
                  </from>
                  <to>
                    <xdr:col>12</xdr:col>
                    <xdr:colOff>342900</xdr:colOff>
                    <xdr:row>16</xdr:row>
                    <xdr:rowOff>152400</xdr:rowOff>
                  </to>
                </anchor>
              </controlPr>
            </control>
          </mc:Choice>
        </mc:AlternateContent>
        <mc:AlternateContent xmlns:mc="http://schemas.openxmlformats.org/markup-compatibility/2006">
          <mc:Choice Requires="x14">
            <control shapeId="10128" r:id="rId12" name="Option Button 912">
              <controlPr defaultSize="0" autoFill="0" autoLine="0" autoPict="0">
                <anchor moveWithCells="1" sizeWithCells="1">
                  <from>
                    <xdr:col>12</xdr:col>
                    <xdr:colOff>312420</xdr:colOff>
                    <xdr:row>16</xdr:row>
                    <xdr:rowOff>22860</xdr:rowOff>
                  </from>
                  <to>
                    <xdr:col>12</xdr:col>
                    <xdr:colOff>609600</xdr:colOff>
                    <xdr:row>16</xdr:row>
                    <xdr:rowOff>152400</xdr:rowOff>
                  </to>
                </anchor>
              </controlPr>
            </control>
          </mc:Choice>
        </mc:AlternateContent>
        <mc:AlternateContent xmlns:mc="http://schemas.openxmlformats.org/markup-compatibility/2006">
          <mc:Choice Requires="x14">
            <control shapeId="788685" r:id="rId13" name="Check Box 18637">
              <controlPr defaultSize="0" autoFill="0" autoLine="0" autoPict="0">
                <anchor moveWithCells="1">
                  <from>
                    <xdr:col>8</xdr:col>
                    <xdr:colOff>1013460</xdr:colOff>
                    <xdr:row>77</xdr:row>
                    <xdr:rowOff>30480</xdr:rowOff>
                  </from>
                  <to>
                    <xdr:col>14</xdr:col>
                    <xdr:colOff>22860</xdr:colOff>
                    <xdr:row>78</xdr:row>
                    <xdr:rowOff>7620</xdr:rowOff>
                  </to>
                </anchor>
              </controlPr>
            </control>
          </mc:Choice>
        </mc:AlternateContent>
        <mc:AlternateContent xmlns:mc="http://schemas.openxmlformats.org/markup-compatibility/2006">
          <mc:Choice Requires="x14">
            <control shapeId="9399" r:id="rId14" name="Group Box 183">
              <controlPr defaultSize="0" autoFill="0" autoPict="0">
                <anchor moveWithCells="1" sizeWithCells="1">
                  <from>
                    <xdr:col>12</xdr:col>
                    <xdr:colOff>7620</xdr:colOff>
                    <xdr:row>37</xdr:row>
                    <xdr:rowOff>0</xdr:rowOff>
                  </from>
                  <to>
                    <xdr:col>13</xdr:col>
                    <xdr:colOff>0</xdr:colOff>
                    <xdr:row>38</xdr:row>
                    <xdr:rowOff>0</xdr:rowOff>
                  </to>
                </anchor>
              </controlPr>
            </control>
          </mc:Choice>
        </mc:AlternateContent>
        <mc:AlternateContent xmlns:mc="http://schemas.openxmlformats.org/markup-compatibility/2006">
          <mc:Choice Requires="x14">
            <control shapeId="9401" r:id="rId15" name="Option Button 185">
              <controlPr defaultSize="0" autoFill="0" autoLine="0" autoPict="0">
                <anchor moveWithCells="1" sizeWithCells="1">
                  <from>
                    <xdr:col>12</xdr:col>
                    <xdr:colOff>60960</xdr:colOff>
                    <xdr:row>37</xdr:row>
                    <xdr:rowOff>30480</xdr:rowOff>
                  </from>
                  <to>
                    <xdr:col>12</xdr:col>
                    <xdr:colOff>350520</xdr:colOff>
                    <xdr:row>37</xdr:row>
                    <xdr:rowOff>182880</xdr:rowOff>
                  </to>
                </anchor>
              </controlPr>
            </control>
          </mc:Choice>
        </mc:AlternateContent>
        <mc:AlternateContent xmlns:mc="http://schemas.openxmlformats.org/markup-compatibility/2006">
          <mc:Choice Requires="x14">
            <control shapeId="9402" r:id="rId16" name="Option Button 186">
              <controlPr defaultSize="0" autoFill="0" autoLine="0" autoPict="0">
                <anchor moveWithCells="1" sizeWithCells="1">
                  <from>
                    <xdr:col>12</xdr:col>
                    <xdr:colOff>304800</xdr:colOff>
                    <xdr:row>37</xdr:row>
                    <xdr:rowOff>30480</xdr:rowOff>
                  </from>
                  <to>
                    <xdr:col>13</xdr:col>
                    <xdr:colOff>0</xdr:colOff>
                    <xdr:row>37</xdr:row>
                    <xdr:rowOff>182880</xdr:rowOff>
                  </to>
                </anchor>
              </controlPr>
            </control>
          </mc:Choice>
        </mc:AlternateContent>
        <mc:AlternateContent xmlns:mc="http://schemas.openxmlformats.org/markup-compatibility/2006">
          <mc:Choice Requires="x14">
            <control shapeId="9411" r:id="rId17" name="Group Box 195">
              <controlPr defaultSize="0" autoFill="0" autoPict="0">
                <anchor moveWithCells="1" sizeWithCells="1">
                  <from>
                    <xdr:col>12</xdr:col>
                    <xdr:colOff>0</xdr:colOff>
                    <xdr:row>40</xdr:row>
                    <xdr:rowOff>22860</xdr:rowOff>
                  </from>
                  <to>
                    <xdr:col>13</xdr:col>
                    <xdr:colOff>0</xdr:colOff>
                    <xdr:row>41</xdr:row>
                    <xdr:rowOff>182880</xdr:rowOff>
                  </to>
                </anchor>
              </controlPr>
            </control>
          </mc:Choice>
        </mc:AlternateContent>
        <mc:AlternateContent xmlns:mc="http://schemas.openxmlformats.org/markup-compatibility/2006">
          <mc:Choice Requires="x14">
            <control shapeId="9412" r:id="rId18" name="Option Button 196">
              <controlPr defaultSize="0" autoFill="0" autoLine="0" autoPict="0">
                <anchor moveWithCells="1" sizeWithCells="1">
                  <from>
                    <xdr:col>12</xdr:col>
                    <xdr:colOff>45720</xdr:colOff>
                    <xdr:row>41</xdr:row>
                    <xdr:rowOff>22860</xdr:rowOff>
                  </from>
                  <to>
                    <xdr:col>12</xdr:col>
                    <xdr:colOff>342900</xdr:colOff>
                    <xdr:row>41</xdr:row>
                    <xdr:rowOff>175260</xdr:rowOff>
                  </to>
                </anchor>
              </controlPr>
            </control>
          </mc:Choice>
        </mc:AlternateContent>
        <mc:AlternateContent xmlns:mc="http://schemas.openxmlformats.org/markup-compatibility/2006">
          <mc:Choice Requires="x14">
            <control shapeId="9413" r:id="rId19" name="Option Button 197">
              <controlPr defaultSize="0" autoFill="0" autoLine="0" autoPict="0">
                <anchor moveWithCells="1" sizeWithCells="1">
                  <from>
                    <xdr:col>12</xdr:col>
                    <xdr:colOff>304800</xdr:colOff>
                    <xdr:row>41</xdr:row>
                    <xdr:rowOff>22860</xdr:rowOff>
                  </from>
                  <to>
                    <xdr:col>13</xdr:col>
                    <xdr:colOff>0</xdr:colOff>
                    <xdr:row>41</xdr:row>
                    <xdr:rowOff>175260</xdr:rowOff>
                  </to>
                </anchor>
              </controlPr>
            </control>
          </mc:Choice>
        </mc:AlternateContent>
        <mc:AlternateContent xmlns:mc="http://schemas.openxmlformats.org/markup-compatibility/2006">
          <mc:Choice Requires="x14">
            <control shapeId="9416" r:id="rId20" name="Group Box 200">
              <controlPr defaultSize="0" autoFill="0" autoPict="0">
                <anchor moveWithCells="1" sizeWithCells="1">
                  <from>
                    <xdr:col>12</xdr:col>
                    <xdr:colOff>7620</xdr:colOff>
                    <xdr:row>25</xdr:row>
                    <xdr:rowOff>0</xdr:rowOff>
                  </from>
                  <to>
                    <xdr:col>13</xdr:col>
                    <xdr:colOff>0</xdr:colOff>
                    <xdr:row>26</xdr:row>
                    <xdr:rowOff>0</xdr:rowOff>
                  </to>
                </anchor>
              </controlPr>
            </control>
          </mc:Choice>
        </mc:AlternateContent>
        <mc:AlternateContent xmlns:mc="http://schemas.openxmlformats.org/markup-compatibility/2006">
          <mc:Choice Requires="x14">
            <control shapeId="9417" r:id="rId21" name="Option Button 201">
              <controlPr defaultSize="0" autoFill="0" autoLine="0" autoPict="0">
                <anchor moveWithCells="1" sizeWithCells="1">
                  <from>
                    <xdr:col>12</xdr:col>
                    <xdr:colOff>60960</xdr:colOff>
                    <xdr:row>25</xdr:row>
                    <xdr:rowOff>30480</xdr:rowOff>
                  </from>
                  <to>
                    <xdr:col>12</xdr:col>
                    <xdr:colOff>342900</xdr:colOff>
                    <xdr:row>25</xdr:row>
                    <xdr:rowOff>182880</xdr:rowOff>
                  </to>
                </anchor>
              </controlPr>
            </control>
          </mc:Choice>
        </mc:AlternateContent>
        <mc:AlternateContent xmlns:mc="http://schemas.openxmlformats.org/markup-compatibility/2006">
          <mc:Choice Requires="x14">
            <control shapeId="9418" r:id="rId22" name="Option Button 202">
              <controlPr defaultSize="0" autoFill="0" autoLine="0" autoPict="0">
                <anchor moveWithCells="1" sizeWithCells="1">
                  <from>
                    <xdr:col>12</xdr:col>
                    <xdr:colOff>304800</xdr:colOff>
                    <xdr:row>25</xdr:row>
                    <xdr:rowOff>30480</xdr:rowOff>
                  </from>
                  <to>
                    <xdr:col>13</xdr:col>
                    <xdr:colOff>0</xdr:colOff>
                    <xdr:row>25</xdr:row>
                    <xdr:rowOff>182880</xdr:rowOff>
                  </to>
                </anchor>
              </controlPr>
            </control>
          </mc:Choice>
        </mc:AlternateContent>
        <mc:AlternateContent xmlns:mc="http://schemas.openxmlformats.org/markup-compatibility/2006">
          <mc:Choice Requires="x14">
            <control shapeId="819594" r:id="rId23" name="Option Button 19850">
              <controlPr defaultSize="0" autoFill="0" autoLine="0" autoPict="0">
                <anchor moveWithCells="1" sizeWithCells="1">
                  <from>
                    <xdr:col>12</xdr:col>
                    <xdr:colOff>68580</xdr:colOff>
                    <xdr:row>42</xdr:row>
                    <xdr:rowOff>22860</xdr:rowOff>
                  </from>
                  <to>
                    <xdr:col>12</xdr:col>
                    <xdr:colOff>266700</xdr:colOff>
                    <xdr:row>42</xdr:row>
                    <xdr:rowOff>160020</xdr:rowOff>
                  </to>
                </anchor>
              </controlPr>
            </control>
          </mc:Choice>
        </mc:AlternateContent>
        <mc:AlternateContent xmlns:mc="http://schemas.openxmlformats.org/markup-compatibility/2006">
          <mc:Choice Requires="x14">
            <control shapeId="819595" r:id="rId24" name="Option Button 19851">
              <controlPr defaultSize="0" autoFill="0" autoLine="0" autoPict="0">
                <anchor moveWithCells="1" sizeWithCells="1">
                  <from>
                    <xdr:col>12</xdr:col>
                    <xdr:colOff>327660</xdr:colOff>
                    <xdr:row>42</xdr:row>
                    <xdr:rowOff>22860</xdr:rowOff>
                  </from>
                  <to>
                    <xdr:col>12</xdr:col>
                    <xdr:colOff>480060</xdr:colOff>
                    <xdr:row>42</xdr:row>
                    <xdr:rowOff>160020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6">
    <tabColor theme="3" tint="0.79998168889431442"/>
    <pageSetUpPr fitToPage="1"/>
  </sheetPr>
  <dimension ref="A1:Z192"/>
  <sheetViews>
    <sheetView showGridLines="0" showRowColHeaders="0" zoomScaleNormal="100" workbookViewId="0">
      <pane xSplit="1" ySplit="9" topLeftCell="B10" activePane="bottomRight" state="frozen"/>
      <selection pane="topRight" activeCell="B1" sqref="B1"/>
      <selection pane="bottomLeft" activeCell="A10" sqref="A10"/>
      <selection pane="bottomRight" activeCell="D46" sqref="D46"/>
    </sheetView>
  </sheetViews>
  <sheetFormatPr defaultColWidth="0" defaultRowHeight="0" customHeight="1" zeroHeight="1"/>
  <cols>
    <col min="1" max="1" width="1" style="110" customWidth="1"/>
    <col min="2" max="2" width="1.88671875" style="110" customWidth="1"/>
    <col min="3" max="3" width="57.88671875" style="110" customWidth="1"/>
    <col min="4" max="4" width="6.33203125" style="110" customWidth="1"/>
    <col min="5" max="5" width="3.5546875" style="127" customWidth="1"/>
    <col min="6" max="6" width="0.6640625" style="110" customWidth="1"/>
    <col min="7" max="7" width="17.88671875" style="110" customWidth="1"/>
    <col min="8" max="8" width="1" style="110" customWidth="1"/>
    <col min="9" max="9" width="21.88671875" style="110" customWidth="1"/>
    <col min="10" max="10" width="3.5546875" style="110" customWidth="1"/>
    <col min="11" max="11" width="0.6640625" style="110" customWidth="1"/>
    <col min="12" max="12" width="6.6640625" style="110" customWidth="1"/>
    <col min="13" max="13" width="9" style="110" customWidth="1"/>
    <col min="14" max="14" width="10.6640625" style="110" customWidth="1"/>
    <col min="15" max="15" width="8.5546875" style="110" customWidth="1"/>
    <col min="16" max="16" width="3.33203125" style="110" customWidth="1"/>
    <col min="17" max="17" width="1.33203125" style="128" customWidth="1"/>
    <col min="18" max="18" width="12.109375" style="128" hidden="1" customWidth="1"/>
    <col min="19" max="26" width="8.88671875" style="128" hidden="1" customWidth="1"/>
    <col min="27" max="16384" width="8.88671875" style="129" hidden="1"/>
  </cols>
  <sheetData>
    <row r="1" spans="1:26" s="107" customFormat="1" ht="6.75" customHeight="1" thickBot="1">
      <c r="A1" s="449">
        <v>0</v>
      </c>
      <c r="B1" s="449"/>
      <c r="C1" s="449"/>
      <c r="D1" s="449"/>
      <c r="E1" s="450"/>
      <c r="F1" s="449"/>
      <c r="G1" s="449"/>
      <c r="H1" s="449"/>
      <c r="I1" s="449"/>
      <c r="J1" s="449"/>
      <c r="K1" s="449"/>
      <c r="L1" s="449"/>
      <c r="M1" s="449"/>
      <c r="N1" s="449"/>
      <c r="O1" s="449"/>
      <c r="P1" s="449"/>
      <c r="Q1" s="449"/>
      <c r="R1" s="106"/>
      <c r="S1" s="106"/>
      <c r="T1" s="106"/>
      <c r="U1" s="106"/>
      <c r="V1" s="106"/>
      <c r="W1" s="106"/>
      <c r="X1" s="106"/>
      <c r="Y1" s="106"/>
      <c r="Z1" s="106"/>
    </row>
    <row r="2" spans="1:26" s="107" customFormat="1" ht="42" customHeight="1" thickTop="1">
      <c r="A2" s="449"/>
      <c r="B2" s="712" t="s">
        <v>316</v>
      </c>
      <c r="C2" s="713"/>
      <c r="D2" s="713"/>
      <c r="E2" s="713"/>
      <c r="F2" s="713"/>
      <c r="G2" s="713"/>
      <c r="H2" s="713"/>
      <c r="I2" s="713"/>
      <c r="J2" s="713"/>
      <c r="K2" s="713"/>
      <c r="L2" s="713"/>
      <c r="M2" s="713"/>
      <c r="N2" s="713"/>
      <c r="O2" s="713"/>
      <c r="P2" s="714"/>
      <c r="Q2" s="449"/>
      <c r="R2" s="106"/>
      <c r="S2" s="106"/>
      <c r="T2" s="106"/>
      <c r="U2" s="106"/>
      <c r="V2" s="106"/>
      <c r="W2" s="106"/>
      <c r="X2" s="106"/>
      <c r="Y2" s="106"/>
      <c r="Z2" s="106"/>
    </row>
    <row r="3" spans="1:26" s="107" customFormat="1" ht="8.25" customHeight="1">
      <c r="A3" s="449"/>
      <c r="B3" s="552"/>
      <c r="C3" s="108"/>
      <c r="D3" s="108"/>
      <c r="E3" s="109"/>
      <c r="F3" s="108"/>
      <c r="G3" s="110"/>
      <c r="H3" s="110"/>
      <c r="I3" s="110"/>
      <c r="J3" s="110"/>
      <c r="K3" s="110"/>
      <c r="L3" s="110"/>
      <c r="M3" s="110"/>
      <c r="N3" s="110"/>
      <c r="O3" s="110"/>
      <c r="P3" s="553"/>
      <c r="Q3" s="449"/>
      <c r="R3" s="106"/>
      <c r="S3" s="106"/>
      <c r="T3" s="106"/>
      <c r="U3" s="106"/>
      <c r="V3" s="106"/>
      <c r="W3" s="106"/>
      <c r="X3" s="106"/>
      <c r="Y3" s="106"/>
      <c r="Z3" s="106"/>
    </row>
    <row r="4" spans="1:26" s="107" customFormat="1" ht="15.6">
      <c r="A4" s="449"/>
      <c r="B4" s="552"/>
      <c r="C4" s="224" t="s">
        <v>165</v>
      </c>
      <c r="D4" s="561" t="str">
        <f>IF(ISBLANK(Instructions!D18),"&lt;&lt; Please enter system details and contact information on the Instructions tab &gt;&gt;",Instructions!D18&amp;IF(ISBLANK(Instructions!D36),"","  ("&amp;Instructions!D36&amp;")"))</f>
        <v>XYZ Water Company  (ND123456789)</v>
      </c>
      <c r="E4" s="562"/>
      <c r="F4" s="563"/>
      <c r="G4" s="564"/>
      <c r="H4" s="564"/>
      <c r="I4" s="564"/>
      <c r="J4" s="564"/>
      <c r="K4" s="564"/>
      <c r="L4" s="564"/>
      <c r="M4" s="565"/>
      <c r="N4" s="110"/>
      <c r="O4" s="110"/>
      <c r="P4" s="553"/>
      <c r="Q4" s="449"/>
      <c r="R4" s="106"/>
      <c r="S4" s="106"/>
      <c r="T4" s="106"/>
      <c r="U4" s="106"/>
      <c r="V4" s="106"/>
      <c r="W4" s="106"/>
      <c r="X4" s="106"/>
      <c r="Y4" s="106"/>
      <c r="Z4" s="106"/>
    </row>
    <row r="5" spans="1:26" s="107" customFormat="1" ht="15.6">
      <c r="A5" s="449"/>
      <c r="B5" s="552"/>
      <c r="C5" s="224" t="s">
        <v>166</v>
      </c>
      <c r="D5" s="730">
        <f>IF(ISBLANK(Instructions!D26),"",Instructions!D26)</f>
        <v>2017</v>
      </c>
      <c r="E5" s="731"/>
      <c r="F5" s="108"/>
      <c r="G5" s="730" t="str">
        <f>IF(ISBLANK(Instructions!D26),"",IF(Instructions!E26="Calendar Year","1/"&amp;Instructions!D26&amp;" - "&amp;"12/"&amp;Instructions!D26,IF(OR(ISBLANK(Instructions!D28),ISBLANK(Instructions!D30)),"",MONTH(Instructions!D28)&amp;"/"&amp;YEAR(Instructions!D28)&amp;" - "&amp;MONTH(Instructions!D30)&amp;"/"&amp;YEAR(Instructions!D30))))</f>
        <v>1/2017 - 12/2017</v>
      </c>
      <c r="H5" s="731"/>
      <c r="I5" s="110"/>
      <c r="J5" s="110"/>
      <c r="K5" s="110"/>
      <c r="L5" s="110"/>
      <c r="M5" s="110"/>
      <c r="N5" s="110"/>
      <c r="O5" s="110"/>
      <c r="P5" s="553"/>
      <c r="Q5" s="449"/>
      <c r="R5" s="106"/>
      <c r="S5" s="106"/>
      <c r="T5" s="106"/>
      <c r="U5" s="106"/>
      <c r="V5" s="106"/>
      <c r="W5" s="106"/>
      <c r="X5" s="106"/>
      <c r="Y5" s="106"/>
      <c r="Z5" s="106"/>
    </row>
    <row r="6" spans="1:26" s="107" customFormat="1" ht="3.75" customHeight="1">
      <c r="A6" s="449"/>
      <c r="B6" s="552"/>
      <c r="C6" s="111"/>
      <c r="D6" s="108"/>
      <c r="E6" s="109"/>
      <c r="F6" s="108"/>
      <c r="G6" s="110"/>
      <c r="H6" s="110"/>
      <c r="I6" s="110"/>
      <c r="J6" s="110"/>
      <c r="K6" s="110"/>
      <c r="L6" s="110"/>
      <c r="M6" s="110"/>
      <c r="N6" s="110"/>
      <c r="O6" s="110"/>
      <c r="P6" s="553"/>
      <c r="Q6" s="449"/>
      <c r="R6" s="106"/>
      <c r="S6" s="106"/>
      <c r="T6" s="106"/>
      <c r="U6" s="106"/>
      <c r="V6" s="106"/>
      <c r="W6" s="106"/>
      <c r="X6" s="106"/>
      <c r="Y6" s="106"/>
      <c r="Z6" s="106"/>
    </row>
    <row r="7" spans="1:26" s="107" customFormat="1" ht="2.25" customHeight="1">
      <c r="A7" s="449"/>
      <c r="B7" s="552"/>
      <c r="C7" s="108"/>
      <c r="D7" s="108"/>
      <c r="E7" s="109"/>
      <c r="F7" s="108"/>
      <c r="G7" s="110"/>
      <c r="H7" s="110"/>
      <c r="I7" s="110"/>
      <c r="J7" s="110"/>
      <c r="K7" s="110"/>
      <c r="L7" s="110"/>
      <c r="M7" s="110"/>
      <c r="N7" s="110"/>
      <c r="O7" s="110"/>
      <c r="P7" s="553"/>
      <c r="Q7" s="449"/>
      <c r="R7" s="106"/>
      <c r="S7" s="106"/>
      <c r="T7" s="106"/>
      <c r="U7" s="106"/>
      <c r="V7" s="106"/>
      <c r="W7" s="106"/>
      <c r="X7" s="106"/>
      <c r="Y7" s="106"/>
      <c r="Z7" s="106"/>
    </row>
    <row r="8" spans="1:26" s="107" customFormat="1" ht="6" customHeight="1">
      <c r="A8" s="449"/>
      <c r="B8" s="552"/>
      <c r="C8" s="112"/>
      <c r="D8" s="108"/>
      <c r="E8" s="109"/>
      <c r="F8" s="108"/>
      <c r="G8" s="110"/>
      <c r="H8" s="110"/>
      <c r="I8" s="110"/>
      <c r="J8" s="110"/>
      <c r="K8" s="110"/>
      <c r="L8" s="110"/>
      <c r="M8" s="110"/>
      <c r="N8" s="110"/>
      <c r="O8" s="110"/>
      <c r="P8" s="553"/>
      <c r="Q8" s="449"/>
      <c r="R8" s="106"/>
      <c r="S8" s="106"/>
      <c r="T8" s="106"/>
      <c r="U8" s="106"/>
      <c r="V8" s="106"/>
      <c r="W8" s="106"/>
      <c r="X8" s="106"/>
      <c r="Y8" s="106"/>
      <c r="Z8" s="106"/>
    </row>
    <row r="9" spans="1:26" s="107" customFormat="1" ht="15.6" customHeight="1">
      <c r="A9" s="449"/>
      <c r="B9" s="552"/>
      <c r="C9" s="726" t="str">
        <f>IF(ISBLANK(Instructions!$D$34),"********** REPORTING UNITS MUST BE SELECTED ON THE INSTRUCTIONS WORKSHEET BEFORE PERFORMANCE INDICATORS CAN BE DISPLAYED **********",IF(GradingAssessment!M24&gt;0," ********** DATA GRADING MUST BE COMPLTED ON THE REPORTING WORKSHEET BEFORE PERFORMANCE INDICATORS CAN BE DISPLAYED **********","*** YOUR WATER AUDIT DATA VALIDITY SCORE IS: "&amp;ROUND(GradingAssessment!G24,0)&amp;" out of 100 ***"))</f>
        <v>*** YOUR WATER AUDIT DATA VALIDITY SCORE IS: 74 out of 100 ***</v>
      </c>
      <c r="D9" s="726"/>
      <c r="E9" s="726"/>
      <c r="F9" s="726"/>
      <c r="G9" s="726"/>
      <c r="H9" s="726"/>
      <c r="I9" s="726"/>
      <c r="J9" s="726"/>
      <c r="K9" s="726"/>
      <c r="L9" s="726"/>
      <c r="M9" s="726"/>
      <c r="N9" s="726"/>
      <c r="O9" s="726"/>
      <c r="P9" s="553"/>
      <c r="Q9" s="449"/>
      <c r="R9" s="106"/>
      <c r="S9" s="106"/>
      <c r="T9" s="106"/>
      <c r="U9" s="106"/>
      <c r="V9" s="106"/>
      <c r="W9" s="106"/>
      <c r="X9" s="106"/>
      <c r="Y9" s="106"/>
      <c r="Z9" s="106"/>
    </row>
    <row r="10" spans="1:26" s="107" customFormat="1" ht="15" customHeight="1">
      <c r="A10" s="449"/>
      <c r="B10" s="552"/>
      <c r="C10" s="113" t="s">
        <v>308</v>
      </c>
      <c r="D10" s="108"/>
      <c r="E10" s="109"/>
      <c r="F10" s="108"/>
      <c r="G10" s="110"/>
      <c r="H10" s="110"/>
      <c r="I10" s="110"/>
      <c r="J10" s="110"/>
      <c r="K10" s="110"/>
      <c r="L10" s="110"/>
      <c r="M10" s="110"/>
      <c r="N10" s="110"/>
      <c r="O10" s="110"/>
      <c r="P10" s="553"/>
      <c r="Q10" s="449"/>
      <c r="R10" s="106"/>
      <c r="S10" s="106"/>
      <c r="T10" s="106"/>
      <c r="U10" s="106"/>
      <c r="V10" s="106"/>
      <c r="W10" s="106"/>
      <c r="X10" s="106"/>
      <c r="Y10" s="106"/>
      <c r="Z10" s="106"/>
    </row>
    <row r="11" spans="1:26" s="107" customFormat="1" ht="15.6" customHeight="1">
      <c r="A11" s="449"/>
      <c r="B11" s="552"/>
      <c r="C11" s="108"/>
      <c r="D11" s="108"/>
      <c r="E11" s="109"/>
      <c r="F11" s="108"/>
      <c r="G11" s="114" t="s">
        <v>98</v>
      </c>
      <c r="H11" s="110"/>
      <c r="I11" s="222">
        <f>IF(ISBLANK(Instructions!$D$34),"",'Reporting Worksheet'!G47)</f>
        <v>9.4972772277227726</v>
      </c>
      <c r="J11" s="82" t="str">
        <f>IF(Instructions!$D$34="million gallons (US)","MG/Yr",IF(Instructions!$D$34="Megalitres (thousand cubic metres)","ML/Yr",IF(Instructions!$D$34="acre-feet","acre-ft/yr","")))</f>
        <v>MG/Yr</v>
      </c>
      <c r="K11" s="110"/>
      <c r="L11" s="110"/>
      <c r="M11" s="110"/>
      <c r="N11" s="110"/>
      <c r="O11" s="110"/>
      <c r="P11" s="553"/>
      <c r="Q11" s="449"/>
      <c r="R11" s="403">
        <f>GradingAssessment!M24</f>
        <v>0</v>
      </c>
      <c r="S11" s="405" t="s">
        <v>382</v>
      </c>
      <c r="T11" s="106"/>
      <c r="U11" s="106"/>
      <c r="V11" s="106"/>
      <c r="W11" s="106"/>
      <c r="X11" s="106"/>
      <c r="Y11" s="106"/>
      <c r="Z11" s="106"/>
    </row>
    <row r="12" spans="1:26" s="107" customFormat="1" ht="2.4" customHeight="1">
      <c r="A12" s="449"/>
      <c r="B12" s="552"/>
      <c r="C12" s="108"/>
      <c r="D12" s="108"/>
      <c r="E12" s="109"/>
      <c r="F12" s="108"/>
      <c r="G12" s="114"/>
      <c r="H12" s="110"/>
      <c r="I12" s="110"/>
      <c r="J12" s="82"/>
      <c r="K12" s="110"/>
      <c r="L12" s="110"/>
      <c r="M12" s="110"/>
      <c r="N12" s="110"/>
      <c r="O12" s="110"/>
      <c r="P12" s="553"/>
      <c r="Q12" s="449"/>
      <c r="R12" s="106"/>
      <c r="S12" s="106"/>
      <c r="T12" s="106"/>
      <c r="U12" s="106"/>
      <c r="V12" s="106"/>
      <c r="W12" s="106"/>
      <c r="X12" s="106"/>
      <c r="Y12" s="106"/>
      <c r="Z12" s="106"/>
    </row>
    <row r="13" spans="1:26" s="107" customFormat="1" ht="15.6" customHeight="1">
      <c r="A13" s="449"/>
      <c r="B13" s="552"/>
      <c r="C13" s="108"/>
      <c r="D13" s="108"/>
      <c r="E13" s="109"/>
      <c r="F13" s="108"/>
      <c r="G13" s="223" t="s">
        <v>300</v>
      </c>
      <c r="H13" s="110"/>
      <c r="I13" s="222">
        <f>IF(ISBLANK(Instructions!$D$34),"",'Reporting Worksheet'!G52)</f>
        <v>6.0522277227722761</v>
      </c>
      <c r="J13" s="82" t="str">
        <f>IF(Instructions!$D$34="million gallons (US)","MG/Yr",IF(Instructions!$D$34="Megalitres (thousand cubic metres)","ML/Yr",IF(Instructions!$D$34="acre-feet","acre-ft/yr","")))</f>
        <v>MG/Yr</v>
      </c>
      <c r="K13" s="110"/>
      <c r="L13" s="110"/>
      <c r="M13" s="110"/>
      <c r="N13" s="110"/>
      <c r="O13" s="110"/>
      <c r="P13" s="553"/>
      <c r="Q13" s="449"/>
      <c r="R13" s="404">
        <f>IF(ISBLANK(Instructions!$D$34),0,1)</f>
        <v>1</v>
      </c>
      <c r="S13" s="405" t="s">
        <v>383</v>
      </c>
      <c r="T13" s="106"/>
      <c r="U13" s="106"/>
      <c r="V13" s="106"/>
      <c r="W13" s="106"/>
      <c r="X13" s="106"/>
      <c r="Y13" s="106"/>
      <c r="Z13" s="106"/>
    </row>
    <row r="14" spans="1:26" s="107" customFormat="1" ht="3.6" customHeight="1">
      <c r="A14" s="449"/>
      <c r="B14" s="552"/>
      <c r="C14" s="108"/>
      <c r="D14" s="108"/>
      <c r="E14" s="109"/>
      <c r="F14" s="108"/>
      <c r="G14" s="223"/>
      <c r="H14" s="110"/>
      <c r="I14" s="110"/>
      <c r="J14" s="82"/>
      <c r="K14" s="110"/>
      <c r="L14" s="110"/>
      <c r="M14" s="110"/>
      <c r="N14" s="110"/>
      <c r="O14" s="110"/>
      <c r="P14" s="553"/>
      <c r="Q14" s="449"/>
      <c r="R14" s="106"/>
      <c r="S14" s="106"/>
      <c r="T14" s="106"/>
      <c r="U14" s="106"/>
      <c r="V14" s="106"/>
      <c r="W14" s="106"/>
      <c r="X14" s="106"/>
      <c r="Y14" s="106"/>
      <c r="Z14" s="106"/>
    </row>
    <row r="15" spans="1:26" s="107" customFormat="1" ht="15.6" customHeight="1">
      <c r="A15" s="449"/>
      <c r="B15" s="552"/>
      <c r="C15" s="108"/>
      <c r="D15" s="108"/>
      <c r="E15" s="109"/>
      <c r="F15" s="108"/>
      <c r="G15" s="228" t="s">
        <v>299</v>
      </c>
      <c r="H15" s="110"/>
      <c r="I15" s="229">
        <f>IF(ISBLANK(Instructions!$D$34),"",'Reporting Worksheet'!G54)</f>
        <v>15.549504950495049</v>
      </c>
      <c r="J15" s="82" t="str">
        <f>IF(Instructions!$D$34="million gallons (US)","MG/Yr",IF(Instructions!$D$34="Megalitres (thousand cubic metres)","ML/Yr",IF(Instructions!$D$34="acre-feet","acre-ft/yr","")))</f>
        <v>MG/Yr</v>
      </c>
      <c r="K15" s="110"/>
      <c r="L15" s="110"/>
      <c r="M15" s="110"/>
      <c r="N15" s="110"/>
      <c r="O15" s="110"/>
      <c r="P15" s="553"/>
      <c r="Q15" s="449"/>
      <c r="R15" s="106"/>
      <c r="S15" s="106"/>
      <c r="T15" s="106"/>
      <c r="U15" s="106"/>
      <c r="V15" s="106"/>
      <c r="W15" s="106"/>
      <c r="X15" s="106"/>
      <c r="Y15" s="106"/>
      <c r="Z15" s="106"/>
    </row>
    <row r="16" spans="1:26" s="107" customFormat="1" ht="13.95" customHeight="1">
      <c r="A16" s="449"/>
      <c r="B16" s="552"/>
      <c r="C16" s="108"/>
      <c r="D16" s="108"/>
      <c r="E16" s="109"/>
      <c r="F16" s="108"/>
      <c r="G16" s="110"/>
      <c r="H16" s="110"/>
      <c r="I16" s="110"/>
      <c r="J16" s="110"/>
      <c r="K16" s="110"/>
      <c r="L16" s="110"/>
      <c r="M16" s="110"/>
      <c r="N16" s="110"/>
      <c r="O16" s="110"/>
      <c r="P16" s="553"/>
      <c r="Q16" s="449"/>
      <c r="R16" s="106"/>
      <c r="S16" s="106"/>
      <c r="T16" s="106"/>
      <c r="U16" s="106"/>
      <c r="V16" s="106"/>
      <c r="W16" s="106"/>
      <c r="X16" s="106"/>
      <c r="Y16" s="106"/>
      <c r="Z16" s="106"/>
    </row>
    <row r="17" spans="1:26" s="107" customFormat="1" ht="13.95" customHeight="1">
      <c r="A17" s="449"/>
      <c r="B17" s="552"/>
      <c r="C17" s="108"/>
      <c r="D17" s="108"/>
      <c r="E17" s="109"/>
      <c r="F17" s="108"/>
      <c r="G17" s="114" t="s">
        <v>75</v>
      </c>
      <c r="H17" s="110"/>
      <c r="I17" s="218">
        <f>IF(ISBLANK(Instructions!$D$34),"",IF(Instructions!$D$34="Megalitres (thousand cubic metres)",IF(AND('Reporting Worksheet'!G69&gt;=25,'Reporting Worksheet'!G62*20+'Reporting Worksheet'!G63&gt;3000),(((18*'Reporting Worksheet'!G62)+(0.8*'Reporting Worksheet'!G63)+(25*('Reporting Worksheet'!G63*'Reporting Worksheet'!R68/1000)))*'Reporting Worksheet'!G69/1000000)*365,"Not Valid"),IF(AND('Reporting Worksheet'!G69&gt;=35,'Reporting Worksheet'!G62*32+'Reporting Worksheet'!G63&gt;3000),(((5.41*'Reporting Worksheet'!G62)+(0.15*'Reporting Worksheet'!G63)+(7.5*('Reporting Worksheet'!G63*'Reporting Worksheet'!R68/5280)))*'Reporting Worksheet'!G69)/IF(Instructions!$D$34="Million gallons (US)",1000000,325851.427242)*365,"See limits in definition")))</f>
        <v>14.334577475000001</v>
      </c>
      <c r="J17" s="82" t="str">
        <f>IF(Instructions!$D$34="million gallons (US)","MG/Yr",IF(Instructions!$D$34="Megalitres (thousand cubic metres)","ML/Yr",IF(Instructions!$D$34="acre-feet","acre-ft/yr","")))</f>
        <v>MG/Yr</v>
      </c>
      <c r="K17" s="110"/>
      <c r="L17" s="110"/>
      <c r="M17" s="110"/>
      <c r="N17" s="110"/>
      <c r="O17" s="110"/>
      <c r="P17" s="553"/>
      <c r="Q17" s="449"/>
      <c r="R17" s="106"/>
      <c r="S17" s="106"/>
      <c r="T17" s="106"/>
      <c r="U17" s="106"/>
      <c r="V17" s="106"/>
      <c r="W17" s="106"/>
      <c r="X17" s="106"/>
      <c r="Y17" s="106"/>
      <c r="Z17" s="106"/>
    </row>
    <row r="18" spans="1:26" s="107" customFormat="1" ht="8.4" customHeight="1">
      <c r="A18" s="449"/>
      <c r="B18" s="552"/>
      <c r="C18" s="108"/>
      <c r="D18" s="108"/>
      <c r="E18" s="109"/>
      <c r="F18" s="108"/>
      <c r="G18" s="114"/>
      <c r="H18" s="110"/>
      <c r="I18" s="110"/>
      <c r="J18" s="82"/>
      <c r="K18" s="110"/>
      <c r="L18" s="110"/>
      <c r="M18" s="110"/>
      <c r="N18" s="110"/>
      <c r="O18" s="110"/>
      <c r="P18" s="553"/>
      <c r="Q18" s="449"/>
      <c r="R18" s="106"/>
      <c r="S18" s="106"/>
      <c r="T18" s="106"/>
      <c r="U18" s="106"/>
      <c r="V18" s="106"/>
      <c r="W18" s="106"/>
      <c r="X18" s="106"/>
      <c r="Y18" s="106"/>
      <c r="Z18" s="106"/>
    </row>
    <row r="19" spans="1:26" s="107" customFormat="1" ht="13.95" customHeight="1">
      <c r="A19" s="449"/>
      <c r="B19" s="552"/>
      <c r="C19" s="108"/>
      <c r="D19" s="108"/>
      <c r="E19" s="109"/>
      <c r="F19" s="108"/>
      <c r="G19" s="114" t="s">
        <v>169</v>
      </c>
      <c r="H19" s="110"/>
      <c r="I19" s="213">
        <f>IF(OR(ISBLANK(Instructions!$D$34),ISBLANK('Reporting Worksheet'!I77)),"",('Reporting Worksheet'!G47*'Reporting Worksheet'!G77)*INDEX(Sheet1!B2:D4,MATCH(Instructions!D34,Sheet1!A2:A4,0),MATCH('Reporting Worksheet'!I77,Sheet1!B1:D1,0)))</f>
        <v>71229.579207920789</v>
      </c>
      <c r="J19" s="82"/>
      <c r="K19" s="110"/>
      <c r="L19" s="110"/>
      <c r="M19" s="110"/>
      <c r="N19" s="110"/>
      <c r="O19" s="110"/>
      <c r="P19" s="553"/>
      <c r="Q19" s="449"/>
      <c r="R19" s="106"/>
      <c r="S19" s="106"/>
      <c r="T19" s="106"/>
      <c r="U19" s="106"/>
      <c r="V19" s="106"/>
      <c r="W19" s="106"/>
      <c r="X19" s="106"/>
      <c r="Y19" s="106"/>
      <c r="Z19" s="106"/>
    </row>
    <row r="20" spans="1:26" s="107" customFormat="1" ht="5.4" customHeight="1">
      <c r="A20" s="449"/>
      <c r="B20" s="552"/>
      <c r="C20" s="108"/>
      <c r="D20" s="108"/>
      <c r="E20" s="109"/>
      <c r="F20" s="108"/>
      <c r="G20" s="114"/>
      <c r="H20" s="110"/>
      <c r="I20" s="110"/>
      <c r="J20" s="82"/>
      <c r="K20" s="110"/>
      <c r="L20" s="110"/>
      <c r="M20" s="110"/>
      <c r="N20" s="110"/>
      <c r="O20" s="110"/>
      <c r="P20" s="553"/>
      <c r="Q20" s="449"/>
      <c r="R20" s="106"/>
      <c r="S20" s="106"/>
      <c r="T20" s="106"/>
      <c r="U20" s="106"/>
      <c r="V20" s="106"/>
      <c r="W20" s="106"/>
      <c r="X20" s="106"/>
      <c r="Y20" s="106"/>
      <c r="Z20" s="106"/>
    </row>
    <row r="21" spans="1:26" s="107" customFormat="1" ht="13.95" customHeight="1">
      <c r="A21" s="449"/>
      <c r="B21" s="552"/>
      <c r="C21" s="108"/>
      <c r="D21" s="108"/>
      <c r="E21" s="109"/>
      <c r="F21" s="108"/>
      <c r="G21" s="114" t="s">
        <v>249</v>
      </c>
      <c r="H21" s="110"/>
      <c r="I21" s="214">
        <f>IF(ISBLANK(Instructions!D34),"",IF(ISBLANK('Reporting Worksheet'!G78),"",'Reporting Worksheet'!G52*(IF(R21=FALSE,'Reporting Worksheet'!G78,IF(R21=TRUE,'Reporting Worksheet'!G77*INDEX(Sheet1!B2:D4,MATCH(Instructions!D34,Sheet1!A2:A4,0),MATCH('Reporting Worksheet'!I77,Sheet1!B1:D1,0)),"")))))</f>
        <v>24208.910891089105</v>
      </c>
      <c r="J21" s="240"/>
      <c r="K21" s="241"/>
      <c r="L21" s="242" t="s">
        <v>320</v>
      </c>
      <c r="M21" s="243" t="str">
        <f>IF(R21=FALSE,"Variable Production Cost","Customer Retail Unit Cost")</f>
        <v>Variable Production Cost</v>
      </c>
      <c r="N21" s="241"/>
      <c r="O21" s="241"/>
      <c r="P21" s="553"/>
      <c r="Q21" s="449"/>
      <c r="R21" s="394" t="b">
        <v>0</v>
      </c>
      <c r="S21" s="106" t="s">
        <v>319</v>
      </c>
      <c r="T21" s="106"/>
      <c r="U21" s="106"/>
      <c r="V21" s="106"/>
      <c r="W21" s="106"/>
      <c r="X21" s="106"/>
      <c r="Y21" s="106"/>
      <c r="Z21" s="106"/>
    </row>
    <row r="22" spans="1:26" s="107" customFormat="1" ht="13.95" customHeight="1">
      <c r="A22" s="449"/>
      <c r="B22" s="552"/>
      <c r="C22" s="113"/>
      <c r="D22" s="108"/>
      <c r="E22" s="109"/>
      <c r="F22" s="108"/>
      <c r="G22" s="110"/>
      <c r="H22" s="110"/>
      <c r="I22" s="110"/>
      <c r="J22" s="732" t="s">
        <v>321</v>
      </c>
      <c r="K22" s="732"/>
      <c r="L22" s="732"/>
      <c r="M22" s="732"/>
      <c r="N22" s="732"/>
      <c r="O22" s="732"/>
      <c r="P22" s="733"/>
      <c r="Q22" s="449"/>
      <c r="R22" s="106"/>
      <c r="S22" s="106" t="s">
        <v>310</v>
      </c>
      <c r="T22" s="106"/>
      <c r="U22" s="106"/>
      <c r="V22" s="106"/>
      <c r="W22" s="106"/>
      <c r="X22" s="106"/>
      <c r="Y22" s="106"/>
      <c r="Z22" s="106"/>
    </row>
    <row r="23" spans="1:26" s="107" customFormat="1" ht="6.6" customHeight="1">
      <c r="A23" s="449"/>
      <c r="B23" s="552"/>
      <c r="C23" s="113"/>
      <c r="D23" s="108"/>
      <c r="E23" s="109"/>
      <c r="F23" s="108"/>
      <c r="G23" s="110"/>
      <c r="H23" s="110"/>
      <c r="I23" s="110"/>
      <c r="J23" s="732"/>
      <c r="K23" s="732"/>
      <c r="L23" s="732"/>
      <c r="M23" s="732"/>
      <c r="N23" s="732"/>
      <c r="O23" s="732"/>
      <c r="P23" s="733"/>
      <c r="Q23" s="449"/>
      <c r="R23" s="106"/>
      <c r="S23" s="106"/>
      <c r="T23" s="106"/>
      <c r="U23" s="106"/>
      <c r="V23" s="106"/>
      <c r="W23" s="106"/>
      <c r="X23" s="106"/>
      <c r="Y23" s="106"/>
      <c r="Z23" s="106"/>
    </row>
    <row r="24" spans="1:26" s="107" customFormat="1" ht="13.95" customHeight="1">
      <c r="A24" s="449"/>
      <c r="B24" s="552"/>
      <c r="C24" s="113" t="s">
        <v>309</v>
      </c>
      <c r="D24" s="108"/>
      <c r="E24" s="109"/>
      <c r="F24" s="108"/>
      <c r="G24" s="110"/>
      <c r="H24" s="110"/>
      <c r="I24" s="110"/>
      <c r="J24" s="110"/>
      <c r="K24" s="110"/>
      <c r="L24" s="110"/>
      <c r="M24" s="110"/>
      <c r="N24" s="110"/>
      <c r="O24" s="110"/>
      <c r="P24" s="553"/>
      <c r="Q24" s="449"/>
      <c r="R24" s="106"/>
      <c r="S24" s="106"/>
      <c r="T24" s="106"/>
      <c r="U24" s="106"/>
      <c r="V24" s="106"/>
      <c r="W24" s="106"/>
      <c r="X24" s="106"/>
      <c r="Y24" s="106"/>
      <c r="Z24" s="106"/>
    </row>
    <row r="25" spans="1:26" s="107" customFormat="1" ht="6.6" customHeight="1">
      <c r="A25" s="449"/>
      <c r="B25" s="552"/>
      <c r="C25" s="113"/>
      <c r="D25" s="108"/>
      <c r="E25" s="109"/>
      <c r="F25" s="108"/>
      <c r="G25" s="110"/>
      <c r="H25" s="110"/>
      <c r="I25" s="110"/>
      <c r="J25" s="110"/>
      <c r="K25" s="110"/>
      <c r="L25" s="110"/>
      <c r="M25" s="110"/>
      <c r="N25" s="110"/>
      <c r="O25" s="110"/>
      <c r="P25" s="553"/>
      <c r="Q25" s="449"/>
      <c r="R25" s="106"/>
      <c r="S25" s="106"/>
      <c r="T25" s="106"/>
      <c r="U25" s="106"/>
      <c r="V25" s="106"/>
      <c r="W25" s="106"/>
      <c r="X25" s="106"/>
      <c r="Y25" s="106"/>
      <c r="Z25" s="106"/>
    </row>
    <row r="26" spans="1:26" s="107" customFormat="1" ht="15.6" customHeight="1">
      <c r="A26" s="449"/>
      <c r="B26" s="552"/>
      <c r="C26" s="110"/>
      <c r="D26" s="108"/>
      <c r="E26" s="109"/>
      <c r="F26" s="108"/>
      <c r="G26" s="114" t="s">
        <v>63</v>
      </c>
      <c r="H26" s="110"/>
      <c r="I26" s="212">
        <f>IF(ISERROR(1/'Reporting Worksheet'!G19),"",('Reporting Worksheet'!G25+'Reporting Worksheet'!G26+'Reporting Worksheet'!G47+'Reporting Worksheet'!G52)/'Reporting Worksheet'!G19)</f>
        <v>0.16445454545454544</v>
      </c>
      <c r="J26" s="115"/>
      <c r="K26" s="115"/>
      <c r="L26" s="115"/>
      <c r="M26" s="115"/>
      <c r="N26" s="110"/>
      <c r="O26" s="110"/>
      <c r="P26" s="553"/>
      <c r="Q26" s="449"/>
      <c r="R26" s="116"/>
      <c r="S26" s="106"/>
      <c r="T26" s="623"/>
      <c r="U26" s="106"/>
      <c r="V26" s="106"/>
      <c r="W26" s="106"/>
      <c r="X26" s="106"/>
      <c r="Y26" s="106"/>
      <c r="Z26" s="106"/>
    </row>
    <row r="27" spans="1:26" s="107" customFormat="1" ht="5.4" customHeight="1">
      <c r="A27" s="449"/>
      <c r="B27" s="552"/>
      <c r="C27" s="110"/>
      <c r="D27" s="108"/>
      <c r="E27" s="109"/>
      <c r="F27" s="108"/>
      <c r="G27" s="114"/>
      <c r="H27" s="114"/>
      <c r="I27" s="114"/>
      <c r="J27" s="115"/>
      <c r="K27" s="115"/>
      <c r="L27" s="115"/>
      <c r="M27" s="115"/>
      <c r="N27" s="110"/>
      <c r="O27" s="110"/>
      <c r="P27" s="553"/>
      <c r="Q27" s="449"/>
      <c r="R27" s="116"/>
      <c r="S27" s="106"/>
      <c r="T27" s="106"/>
      <c r="U27" s="106"/>
      <c r="V27" s="106"/>
      <c r="W27" s="106"/>
      <c r="X27" s="106"/>
      <c r="Y27" s="106"/>
      <c r="Z27" s="106"/>
    </row>
    <row r="28" spans="1:26" s="107" customFormat="1" ht="15.6" customHeight="1">
      <c r="A28" s="449"/>
      <c r="B28" s="552"/>
      <c r="C28" s="110"/>
      <c r="D28" s="108"/>
      <c r="E28" s="109"/>
      <c r="F28" s="108"/>
      <c r="G28" s="114" t="s">
        <v>62</v>
      </c>
      <c r="H28" s="110"/>
      <c r="I28" s="212">
        <f>IF(ISERROR(1/'Reporting Worksheet'!G76),"",((('Reporting Worksheet'!G25+'Reporting Worksheet'!G26+'Reporting Worksheet'!G52)*IF(R21=FALSE,'Reporting Worksheet'!G78,'Reporting Worksheet'!G77*INDEX(Sheet1!B2:D4,MATCH(Instructions!D34,Sheet1!A2:A4,0),MATCH('Reporting Worksheet'!I77,Sheet1!B1:D1,0))))+('Reporting Worksheet'!G47*'Reporting Worksheet'!G77*INDEX(Sheet1!B2:D4,MATCH(Instructions!D34,Sheet1!A2:A4,0),MATCH('Reporting Worksheet'!I77,Sheet1!B1:D1,0))))/'Reporting Worksheet'!G76)</f>
        <v>0.17480672442244222</v>
      </c>
      <c r="J28" s="115" t="str">
        <f>" Real Losses valued at "&amp;IF(R21=FALSE,"Variable Production Cost","Customer Retail Unit Cost")</f>
        <v xml:space="preserve"> Real Losses valued at Variable Production Cost</v>
      </c>
      <c r="K28" s="115"/>
      <c r="L28" s="115"/>
      <c r="M28" s="115"/>
      <c r="N28" s="110"/>
      <c r="O28" s="110"/>
      <c r="P28" s="553"/>
      <c r="Q28" s="449"/>
      <c r="R28" s="239"/>
      <c r="S28" s="106"/>
      <c r="T28" s="623"/>
      <c r="U28" s="106"/>
      <c r="V28" s="106"/>
      <c r="W28" s="106"/>
      <c r="X28" s="106"/>
      <c r="Y28" s="106"/>
      <c r="Z28" s="106"/>
    </row>
    <row r="29" spans="1:26" s="107" customFormat="1" ht="5.4" customHeight="1">
      <c r="A29" s="449"/>
      <c r="B29" s="552"/>
      <c r="C29" s="110"/>
      <c r="D29" s="108"/>
      <c r="E29" s="109"/>
      <c r="F29" s="108"/>
      <c r="G29" s="114"/>
      <c r="H29" s="114"/>
      <c r="I29" s="114"/>
      <c r="J29" s="115"/>
      <c r="K29" s="115"/>
      <c r="L29" s="115"/>
      <c r="M29" s="115"/>
      <c r="N29" s="110"/>
      <c r="O29" s="110"/>
      <c r="P29" s="553"/>
      <c r="Q29" s="449"/>
      <c r="R29" s="116"/>
      <c r="S29" s="106"/>
      <c r="T29" s="106"/>
      <c r="U29" s="106"/>
      <c r="V29" s="106"/>
      <c r="W29" s="106"/>
      <c r="X29" s="106"/>
      <c r="Y29" s="106"/>
      <c r="Z29" s="106"/>
    </row>
    <row r="30" spans="1:26" s="107" customFormat="1" ht="15.6" customHeight="1">
      <c r="A30" s="449"/>
      <c r="B30" s="552"/>
      <c r="C30" s="113"/>
      <c r="D30" s="108"/>
      <c r="E30" s="108"/>
      <c r="F30" s="108"/>
      <c r="G30" s="108"/>
      <c r="H30" s="108"/>
      <c r="I30" s="108"/>
      <c r="J30" s="108"/>
      <c r="K30" s="108"/>
      <c r="L30" s="108"/>
      <c r="M30" s="115"/>
      <c r="N30" s="110"/>
      <c r="O30" s="110"/>
      <c r="P30" s="553"/>
      <c r="Q30" s="449"/>
      <c r="R30" s="106"/>
      <c r="S30" s="106"/>
      <c r="T30" s="106"/>
      <c r="U30" s="106"/>
      <c r="V30" s="106"/>
      <c r="W30" s="106"/>
      <c r="X30" s="106"/>
      <c r="Y30" s="106"/>
      <c r="Z30" s="106"/>
    </row>
    <row r="31" spans="1:26" s="107" customFormat="1" ht="5.25" customHeight="1">
      <c r="A31" s="449"/>
      <c r="B31" s="552"/>
      <c r="C31" s="113"/>
      <c r="D31" s="108"/>
      <c r="E31" s="109"/>
      <c r="F31" s="108"/>
      <c r="G31" s="110"/>
      <c r="H31" s="110"/>
      <c r="I31" s="110"/>
      <c r="J31" s="110"/>
      <c r="K31" s="110"/>
      <c r="L31" s="110"/>
      <c r="M31" s="110"/>
      <c r="N31" s="110"/>
      <c r="O31" s="110"/>
      <c r="P31" s="553"/>
      <c r="Q31" s="449"/>
      <c r="R31" s="106"/>
      <c r="S31" s="106"/>
      <c r="T31" s="106"/>
      <c r="U31" s="106"/>
      <c r="V31" s="106"/>
      <c r="W31" s="106"/>
      <c r="X31" s="106"/>
      <c r="Y31" s="106"/>
      <c r="Z31" s="106"/>
    </row>
    <row r="32" spans="1:26" s="107" customFormat="1" ht="15.6" customHeight="1">
      <c r="A32" s="449"/>
      <c r="B32" s="552"/>
      <c r="C32" s="117"/>
      <c r="D32" s="117"/>
      <c r="E32" s="118"/>
      <c r="F32" s="117"/>
      <c r="G32" s="114" t="s">
        <v>96</v>
      </c>
      <c r="H32" s="110"/>
      <c r="I32" s="215">
        <f>IF(ISERROR(1/'Reporting Worksheet'!G63),"",IF(Instructions!$D$34="Acre-feet",'Reporting Worksheet'!G47*325851/1000000,'Reporting Worksheet'!G47)*1000000/365/'Reporting Worksheet'!G63)</f>
        <v>23.654488736544891</v>
      </c>
      <c r="J32" s="115" t="str">
        <f>IF(ISBLANK(Instructions!$D$34),"",IF(Instructions!$D$34="Megalitres (thousand cubic metres)","litres","gallons")&amp;"/connection/day")</f>
        <v>gallons/connection/day</v>
      </c>
      <c r="K32" s="110"/>
      <c r="L32" s="110"/>
      <c r="M32" s="110"/>
      <c r="N32" s="110"/>
      <c r="O32" s="110"/>
      <c r="P32" s="553"/>
      <c r="Q32" s="449"/>
      <c r="R32" s="106"/>
      <c r="S32" s="106"/>
      <c r="T32" s="106"/>
      <c r="U32" s="106"/>
      <c r="V32" s="106"/>
      <c r="W32" s="106"/>
      <c r="X32" s="106"/>
      <c r="Y32" s="106"/>
      <c r="Z32" s="106"/>
    </row>
    <row r="33" spans="1:26" s="107" customFormat="1" ht="5.4" customHeight="1">
      <c r="A33" s="449"/>
      <c r="B33" s="552"/>
      <c r="C33" s="113"/>
      <c r="D33" s="108"/>
      <c r="E33" s="109"/>
      <c r="F33" s="108"/>
      <c r="G33" s="110"/>
      <c r="H33" s="110"/>
      <c r="I33" s="110"/>
      <c r="J33" s="110"/>
      <c r="K33" s="110"/>
      <c r="L33" s="110"/>
      <c r="M33" s="110"/>
      <c r="N33" s="110"/>
      <c r="O33" s="110"/>
      <c r="P33" s="553"/>
      <c r="Q33" s="449"/>
      <c r="R33" s="106"/>
      <c r="S33" s="106"/>
      <c r="T33" s="106"/>
      <c r="U33" s="106"/>
      <c r="V33" s="106"/>
      <c r="W33" s="106"/>
      <c r="X33" s="106"/>
      <c r="Y33" s="106"/>
      <c r="Z33" s="106"/>
    </row>
    <row r="34" spans="1:26" s="107" customFormat="1" ht="15.6">
      <c r="A34" s="449"/>
      <c r="B34" s="552"/>
      <c r="C34" s="108"/>
      <c r="D34" s="108"/>
      <c r="E34" s="109"/>
      <c r="F34" s="108"/>
      <c r="G34" s="114" t="s">
        <v>314</v>
      </c>
      <c r="H34" s="110"/>
      <c r="I34" s="216" t="str">
        <f>IF(ISERROR(1/'Reporting Worksheet'!G63),"",IF(Instructions!$D$34="Megalitres (thousand cubic metres)",IF('Reporting Worksheet'!G64&gt;20,'Reporting Worksheet'!G52*1000000/365/'Reporting Worksheet'!G63,"N/A"),IF('Reporting Worksheet'!G64&gt;32,IF(Instructions!$D$34="Million gallons (US)",'Reporting Worksheet'!G52*1000000,'Reporting Worksheet'!G52*325851)/365/'Reporting Worksheet'!G63,"N/A")))</f>
        <v>N/A</v>
      </c>
      <c r="J34" s="115" t="str">
        <f>IF(ISBLANK(Instructions!$D$34),"",IF(Instructions!$D$34="Megalitres (thousand cubic metres)","litres","gallons")&amp;"/connection/day")</f>
        <v>gallons/connection/day</v>
      </c>
      <c r="K34" s="110"/>
      <c r="L34" s="110"/>
      <c r="M34" s="110"/>
      <c r="N34" s="110"/>
      <c r="O34" s="110"/>
      <c r="P34" s="553"/>
      <c r="Q34" s="449"/>
      <c r="R34" s="106"/>
      <c r="S34" s="106"/>
      <c r="T34" s="106"/>
      <c r="U34" s="106"/>
      <c r="V34" s="106"/>
      <c r="W34" s="106"/>
      <c r="X34" s="106"/>
      <c r="Y34" s="106"/>
      <c r="Z34" s="106"/>
    </row>
    <row r="35" spans="1:26" s="107" customFormat="1" ht="5.4" customHeight="1">
      <c r="A35" s="449"/>
      <c r="B35" s="552"/>
      <c r="C35" s="108"/>
      <c r="D35" s="108"/>
      <c r="E35" s="109"/>
      <c r="F35" s="108"/>
      <c r="G35" s="110"/>
      <c r="H35" s="110"/>
      <c r="I35" s="119"/>
      <c r="J35" s="119"/>
      <c r="K35" s="119"/>
      <c r="L35" s="110"/>
      <c r="M35" s="110"/>
      <c r="N35" s="110"/>
      <c r="O35" s="110"/>
      <c r="P35" s="553"/>
      <c r="Q35" s="449"/>
      <c r="R35" s="106"/>
      <c r="S35" s="106"/>
      <c r="T35" s="106"/>
      <c r="U35" s="106"/>
      <c r="V35" s="106"/>
      <c r="W35" s="106"/>
      <c r="X35" s="106"/>
      <c r="Y35" s="106"/>
      <c r="Z35" s="106"/>
    </row>
    <row r="36" spans="1:26" s="107" customFormat="1" ht="15.6">
      <c r="A36" s="449"/>
      <c r="B36" s="552"/>
      <c r="C36" s="108"/>
      <c r="D36" s="108"/>
      <c r="E36" s="109"/>
      <c r="F36" s="108"/>
      <c r="G36" s="114" t="s">
        <v>97</v>
      </c>
      <c r="H36" s="110"/>
      <c r="I36" s="216">
        <f>IF(ISERROR(1/'Reporting Worksheet'!G62),"",IF(I34="N/A",IF(Instructions!$D$34="Acre-feet",'Reporting Worksheet'!G52*325851/1000000,'Reporting Worksheet'!G52)*1000000/365/'Reporting Worksheet'!G62,"N/A"))</f>
        <v>227.14309336732131</v>
      </c>
      <c r="J36" s="115" t="str">
        <f>IF(ISBLANK(Instructions!$D$34),"",IF(I36="N/A","",IF(Instructions!$D$34="Megalitres (thousand cubic metres)","litres/km","gallons/mile")&amp;"/day"))</f>
        <v>gallons/mile/day</v>
      </c>
      <c r="K36" s="110"/>
      <c r="L36" s="110"/>
      <c r="M36" s="110"/>
      <c r="N36" s="110"/>
      <c r="O36" s="110"/>
      <c r="P36" s="553"/>
      <c r="Q36" s="449"/>
      <c r="R36" s="106"/>
      <c r="S36" s="106"/>
      <c r="T36" s="106"/>
      <c r="U36" s="106"/>
      <c r="V36" s="106"/>
      <c r="W36" s="106"/>
      <c r="X36" s="106"/>
      <c r="Y36" s="106"/>
      <c r="Z36" s="106"/>
    </row>
    <row r="37" spans="1:26" s="107" customFormat="1" ht="5.4" customHeight="1">
      <c r="A37" s="449"/>
      <c r="B37" s="552"/>
      <c r="C37" s="108"/>
      <c r="D37" s="108"/>
      <c r="E37" s="109"/>
      <c r="F37" s="108"/>
      <c r="G37" s="110"/>
      <c r="H37" s="110"/>
      <c r="I37" s="119"/>
      <c r="J37" s="119"/>
      <c r="K37" s="119"/>
      <c r="L37" s="110"/>
      <c r="M37" s="110"/>
      <c r="N37" s="110"/>
      <c r="O37" s="110"/>
      <c r="P37" s="553"/>
      <c r="Q37" s="449"/>
      <c r="R37" s="106"/>
      <c r="S37" s="106"/>
      <c r="T37" s="106"/>
      <c r="U37" s="106"/>
      <c r="V37" s="106"/>
      <c r="W37" s="106"/>
      <c r="X37" s="106"/>
      <c r="Y37" s="106"/>
      <c r="Z37" s="106"/>
    </row>
    <row r="38" spans="1:26" s="107" customFormat="1" ht="15.6">
      <c r="A38" s="449"/>
      <c r="B38" s="552"/>
      <c r="C38" s="108"/>
      <c r="D38" s="108"/>
      <c r="E38" s="109"/>
      <c r="F38" s="108"/>
      <c r="G38" s="114" t="str">
        <f>"Real Losses per service connection per day per "&amp; IF('Reporting Worksheet'!I69="psi","psi pressure","meter (head) pressure")&amp;":"</f>
        <v>Real Losses per service connection per day per psi pressure:</v>
      </c>
      <c r="H38" s="110"/>
      <c r="I38" s="216" t="str">
        <f>IF(I34="N/A","N/A",IF(ISERROR(I34/'Reporting Worksheet'!G69),"",I34/'Reporting Worksheet'!G69))</f>
        <v>N/A</v>
      </c>
      <c r="J38" s="115" t="str">
        <f>IF(ISBLANK(Instructions!$D$34),"",IF(Instructions!$D$34="Megalitres (thousand cubic metres)","litres/connection/day/m","gallons/connection/day/psi"))</f>
        <v>gallons/connection/day/psi</v>
      </c>
      <c r="K38" s="110"/>
      <c r="L38" s="110"/>
      <c r="M38" s="110"/>
      <c r="N38" s="110"/>
      <c r="O38" s="110"/>
      <c r="P38" s="553"/>
      <c r="Q38" s="449"/>
      <c r="R38" s="106"/>
      <c r="S38" s="106"/>
      <c r="T38" s="106"/>
      <c r="U38" s="106"/>
      <c r="V38" s="106"/>
      <c r="W38" s="106"/>
      <c r="X38" s="106"/>
      <c r="Y38" s="106"/>
      <c r="Z38" s="106"/>
    </row>
    <row r="39" spans="1:26" s="107" customFormat="1" ht="8.25" customHeight="1">
      <c r="A39" s="449"/>
      <c r="B39" s="552"/>
      <c r="C39" s="108"/>
      <c r="D39" s="108"/>
      <c r="E39" s="109"/>
      <c r="F39" s="108"/>
      <c r="G39" s="120"/>
      <c r="H39" s="110"/>
      <c r="I39" s="121"/>
      <c r="J39" s="121"/>
      <c r="K39" s="121"/>
      <c r="L39" s="110"/>
      <c r="M39" s="110"/>
      <c r="N39" s="110"/>
      <c r="O39" s="110"/>
      <c r="P39" s="553"/>
      <c r="Q39" s="449"/>
      <c r="R39" s="106"/>
      <c r="S39" s="106"/>
      <c r="T39" s="106"/>
      <c r="U39" s="106"/>
      <c r="V39" s="106"/>
      <c r="W39" s="106"/>
      <c r="X39" s="106"/>
      <c r="Y39" s="106"/>
      <c r="Z39" s="106"/>
    </row>
    <row r="40" spans="1:26" s="107" customFormat="1" ht="2.25" customHeight="1">
      <c r="A40" s="449"/>
      <c r="B40" s="552"/>
      <c r="C40" s="108"/>
      <c r="D40" s="108"/>
      <c r="E40" s="108"/>
      <c r="F40" s="108"/>
      <c r="G40" s="108"/>
      <c r="H40" s="108"/>
      <c r="I40" s="108"/>
      <c r="J40" s="108"/>
      <c r="K40" s="108"/>
      <c r="L40" s="108"/>
      <c r="M40" s="108"/>
      <c r="N40" s="108"/>
      <c r="O40" s="108"/>
      <c r="P40" s="553"/>
      <c r="Q40" s="449"/>
      <c r="R40" s="106"/>
      <c r="S40" s="106"/>
      <c r="T40" s="106"/>
      <c r="U40" s="106"/>
      <c r="V40" s="106"/>
      <c r="W40" s="106"/>
      <c r="X40" s="106"/>
      <c r="Y40" s="106"/>
      <c r="Z40" s="106"/>
    </row>
    <row r="41" spans="1:26" s="107" customFormat="1" ht="13.5" customHeight="1">
      <c r="A41" s="449"/>
      <c r="B41" s="552"/>
      <c r="C41" s="727" t="str">
        <f>IF(I17="Not Valid","*** UARL cannot be calculated as either average pressure, number of connections or length of mains is too small: SEE UARL DEFINITION ***","")</f>
        <v/>
      </c>
      <c r="D41" s="728"/>
      <c r="E41" s="728"/>
      <c r="F41" s="728"/>
      <c r="G41" s="728"/>
      <c r="H41" s="728"/>
      <c r="I41" s="728"/>
      <c r="J41" s="728"/>
      <c r="K41" s="728"/>
      <c r="L41" s="728"/>
      <c r="M41" s="728"/>
      <c r="N41" s="728"/>
      <c r="O41" s="728"/>
      <c r="P41" s="553"/>
      <c r="Q41" s="449"/>
      <c r="R41" s="106"/>
      <c r="S41" s="106"/>
      <c r="T41" s="106"/>
      <c r="U41" s="106"/>
      <c r="V41" s="106"/>
      <c r="W41" s="106"/>
      <c r="X41" s="106"/>
      <c r="Y41" s="106"/>
      <c r="Z41" s="106"/>
    </row>
    <row r="42" spans="1:26" s="107" customFormat="1" ht="2.25" customHeight="1">
      <c r="A42" s="449"/>
      <c r="B42" s="552"/>
      <c r="C42" s="520"/>
      <c r="D42" s="520"/>
      <c r="E42" s="520"/>
      <c r="F42" s="520"/>
      <c r="G42" s="520"/>
      <c r="H42" s="520"/>
      <c r="I42" s="520"/>
      <c r="J42" s="520"/>
      <c r="K42" s="520"/>
      <c r="L42" s="520"/>
      <c r="M42" s="520"/>
      <c r="N42" s="520"/>
      <c r="O42" s="520"/>
      <c r="P42" s="553"/>
      <c r="Q42" s="449"/>
      <c r="R42" s="106"/>
      <c r="S42" s="106"/>
      <c r="T42" s="106"/>
      <c r="U42" s="106"/>
      <c r="V42" s="106"/>
      <c r="W42" s="106"/>
      <c r="X42" s="106"/>
      <c r="Y42" s="106"/>
      <c r="Z42" s="106"/>
    </row>
    <row r="43" spans="1:26" s="107" customFormat="1" ht="15.6" customHeight="1">
      <c r="A43" s="449"/>
      <c r="B43" s="552"/>
      <c r="C43" s="122"/>
      <c r="D43" s="122"/>
      <c r="E43" s="122"/>
      <c r="F43" s="122"/>
      <c r="G43" s="123" t="s">
        <v>69</v>
      </c>
      <c r="H43" s="124"/>
      <c r="I43" s="217">
        <f>IF(ISBLANK(Instructions!$D$34),"",'Reporting Worksheet'!G52)</f>
        <v>6.0522277227722761</v>
      </c>
      <c r="J43" s="122" t="str">
        <f>IF(OR(ISBLANK(Instructions!$D$34),I17="Not Valid"),"",IF(Instructions!$D$34="Megalitres (thousand cubic metres)","ML",IF(Instructions!$D$34="Acre-feet", "acre-feet","million gallons"))&amp;"/year")</f>
        <v>million gallons/year</v>
      </c>
      <c r="K43" s="124"/>
      <c r="L43" s="124"/>
      <c r="M43" s="124"/>
      <c r="N43" s="124"/>
      <c r="O43" s="124"/>
      <c r="P43" s="553"/>
      <c r="Q43" s="449"/>
      <c r="R43" s="106"/>
      <c r="S43" s="106"/>
      <c r="T43" s="106"/>
      <c r="U43" s="106"/>
      <c r="V43" s="106"/>
      <c r="W43" s="106"/>
      <c r="X43" s="106"/>
      <c r="Y43" s="106"/>
      <c r="Z43" s="106"/>
    </row>
    <row r="44" spans="1:26" s="107" customFormat="1" ht="8.25" customHeight="1">
      <c r="A44" s="449"/>
      <c r="B44" s="552"/>
      <c r="C44" s="520"/>
      <c r="D44" s="520"/>
      <c r="E44" s="520"/>
      <c r="F44" s="520"/>
      <c r="G44" s="520"/>
      <c r="H44" s="520"/>
      <c r="I44" s="520"/>
      <c r="J44" s="520"/>
      <c r="K44" s="520"/>
      <c r="L44" s="520"/>
      <c r="M44" s="520"/>
      <c r="N44" s="520"/>
      <c r="O44" s="520"/>
      <c r="P44" s="553"/>
      <c r="Q44" s="449"/>
      <c r="R44" s="106"/>
      <c r="S44" s="106"/>
      <c r="T44" s="106"/>
      <c r="U44" s="106"/>
      <c r="V44" s="106"/>
      <c r="W44" s="106"/>
      <c r="X44" s="106"/>
      <c r="Y44" s="106"/>
      <c r="Z44" s="106"/>
    </row>
    <row r="45" spans="1:26" s="107" customFormat="1" ht="15.6" customHeight="1">
      <c r="A45" s="449"/>
      <c r="B45" s="552"/>
      <c r="C45" s="729" t="s">
        <v>68</v>
      </c>
      <c r="D45" s="729"/>
      <c r="E45" s="729"/>
      <c r="F45" s="729"/>
      <c r="G45" s="729"/>
      <c r="H45" s="125"/>
      <c r="I45" s="219">
        <f>IF(ISERROR(1/I17),"",I43/I17)</f>
        <v>0.42221179754531102</v>
      </c>
      <c r="J45" s="115"/>
      <c r="K45" s="126"/>
      <c r="L45" s="126"/>
      <c r="M45" s="126"/>
      <c r="N45" s="110"/>
      <c r="O45" s="110"/>
      <c r="P45" s="553"/>
      <c r="Q45" s="449"/>
      <c r="R45" s="106"/>
      <c r="S45" s="106"/>
      <c r="T45" s="106"/>
      <c r="U45" s="106"/>
      <c r="V45" s="106"/>
      <c r="W45" s="106"/>
      <c r="X45" s="106"/>
      <c r="Y45" s="106"/>
      <c r="Z45" s="106"/>
    </row>
    <row r="46" spans="1:26" s="107" customFormat="1" ht="28.95" customHeight="1" thickBot="1">
      <c r="A46" s="449"/>
      <c r="B46" s="554"/>
      <c r="C46" s="555" t="str">
        <f>"* This performance indicator applies for systems with a low service connection density of less than "&amp;IF(Instructions!D34="Megalitres (thousand cubic metres)",20,32)&amp;" service connections/"&amp;IF(Instructions!D34="Megalitres (thousand cubic metres)","kilometre","mile")&amp;" of pipeline"</f>
        <v>* This performance indicator applies for systems with a low service connection density of less than 32 service connections/mile of pipeline</v>
      </c>
      <c r="D46" s="556"/>
      <c r="E46" s="557"/>
      <c r="F46" s="556"/>
      <c r="G46" s="556"/>
      <c r="H46" s="558"/>
      <c r="I46" s="558"/>
      <c r="J46" s="558"/>
      <c r="K46" s="558"/>
      <c r="L46" s="558"/>
      <c r="M46" s="559"/>
      <c r="N46" s="558"/>
      <c r="O46" s="558"/>
      <c r="P46" s="560"/>
      <c r="Q46" s="449"/>
      <c r="R46" s="106"/>
      <c r="S46" s="106"/>
      <c r="T46" s="106"/>
      <c r="U46" s="106"/>
      <c r="V46" s="106"/>
      <c r="W46" s="106"/>
      <c r="X46" s="106"/>
      <c r="Y46" s="106"/>
      <c r="Z46" s="106"/>
    </row>
    <row r="47" spans="1:26" s="106" customFormat="1" ht="8.4" customHeight="1" thickTop="1">
      <c r="A47" s="449"/>
      <c r="B47" s="453"/>
      <c r="C47" s="451"/>
      <c r="D47" s="451"/>
      <c r="E47" s="452"/>
      <c r="F47" s="451"/>
      <c r="G47" s="451"/>
      <c r="H47" s="453"/>
      <c r="I47" s="453"/>
      <c r="J47" s="453"/>
      <c r="K47" s="453"/>
      <c r="L47" s="453"/>
      <c r="M47" s="454"/>
      <c r="N47" s="453"/>
      <c r="O47" s="453"/>
      <c r="P47" s="453"/>
      <c r="Q47" s="449"/>
    </row>
    <row r="48" spans="1:26" ht="0" hidden="1" customHeight="1"/>
    <row r="49" ht="0" hidden="1" customHeight="1"/>
    <row r="50" ht="0" hidden="1" customHeight="1"/>
    <row r="51" ht="0" hidden="1" customHeight="1"/>
    <row r="52" ht="0" hidden="1" customHeight="1"/>
    <row r="53" ht="0" hidden="1" customHeight="1"/>
    <row r="54" ht="0" hidden="1" customHeight="1"/>
    <row r="55" ht="0" hidden="1" customHeight="1"/>
    <row r="56" ht="0" hidden="1" customHeight="1"/>
    <row r="57" ht="0" hidden="1" customHeight="1"/>
    <row r="58" ht="0" hidden="1" customHeight="1"/>
    <row r="59" ht="0" hidden="1" customHeight="1"/>
    <row r="60" ht="0" hidden="1" customHeight="1"/>
    <row r="61" ht="0" hidden="1" customHeight="1"/>
    <row r="62" ht="0" hidden="1" customHeight="1"/>
    <row r="63" ht="0" hidden="1" customHeight="1"/>
    <row r="64" ht="0" hidden="1" customHeight="1"/>
    <row r="65" ht="0" hidden="1" customHeight="1"/>
    <row r="66" ht="0" hidden="1" customHeight="1"/>
    <row r="67" ht="0" hidden="1" customHeight="1"/>
    <row r="68" ht="0" hidden="1" customHeight="1"/>
    <row r="69" ht="0" hidden="1" customHeight="1"/>
    <row r="70" ht="0" hidden="1" customHeight="1"/>
    <row r="71" ht="0" hidden="1" customHeight="1"/>
    <row r="72" ht="0" hidden="1" customHeight="1"/>
    <row r="73" ht="0" hidden="1" customHeight="1"/>
    <row r="74" ht="0" hidden="1" customHeight="1"/>
    <row r="75" ht="0" hidden="1" customHeight="1"/>
    <row r="76" ht="0" hidden="1" customHeight="1"/>
    <row r="77" ht="0" hidden="1" customHeight="1"/>
    <row r="78" ht="0" hidden="1" customHeight="1"/>
    <row r="79" ht="0" hidden="1" customHeight="1"/>
    <row r="80" ht="0" hidden="1" customHeight="1"/>
    <row r="81" ht="0" hidden="1" customHeight="1"/>
    <row r="82" ht="0" hidden="1" customHeight="1"/>
    <row r="83" ht="0" hidden="1" customHeight="1"/>
    <row r="84" ht="0" hidden="1" customHeight="1"/>
    <row r="85" ht="0" hidden="1" customHeight="1"/>
    <row r="86" ht="0" hidden="1" customHeight="1"/>
    <row r="87" ht="0" hidden="1" customHeight="1"/>
    <row r="88" ht="0" hidden="1" customHeight="1"/>
    <row r="89" ht="0" hidden="1" customHeight="1"/>
    <row r="90" ht="0" hidden="1" customHeight="1"/>
    <row r="91" ht="0" hidden="1" customHeight="1"/>
    <row r="92" ht="0" hidden="1" customHeight="1"/>
    <row r="93" ht="15.6" hidden="1"/>
    <row r="94" ht="15.6" hidden="1"/>
    <row r="95" ht="15.6" hidden="1"/>
    <row r="96" ht="15.6" hidden="1"/>
    <row r="97" ht="15.6" hidden="1"/>
    <row r="98" ht="15.6" hidden="1"/>
    <row r="99" ht="15.6" hidden="1"/>
    <row r="100" ht="15.6" hidden="1"/>
    <row r="101" ht="15.6" hidden="1"/>
    <row r="102" ht="15.6" hidden="1"/>
    <row r="103" ht="15.6" hidden="1"/>
    <row r="104" ht="15.6" hidden="1"/>
    <row r="105" ht="15.6" hidden="1"/>
    <row r="106" ht="15.6" hidden="1"/>
    <row r="107" ht="15.6" hidden="1"/>
    <row r="108" ht="15.6" hidden="1"/>
    <row r="109" ht="15.6" hidden="1"/>
    <row r="110" ht="15.6" hidden="1"/>
    <row r="111" ht="15.6" hidden="1"/>
    <row r="112" ht="15.6" hidden="1"/>
    <row r="113" spans="5:5" ht="15.6" hidden="1"/>
    <row r="114" spans="5:5" ht="15.6" hidden="1"/>
    <row r="115" spans="5:5" ht="15.6" hidden="1"/>
    <row r="116" spans="5:5" ht="15.6" hidden="1"/>
    <row r="117" spans="5:5" ht="15.6" hidden="1"/>
    <row r="118" spans="5:5" ht="15.6" hidden="1"/>
    <row r="119" spans="5:5" ht="15.6" hidden="1"/>
    <row r="120" spans="5:5" s="128" customFormat="1" ht="15.6" hidden="1" customHeight="1">
      <c r="E120" s="130"/>
    </row>
    <row r="121" spans="5:5" s="128" customFormat="1" ht="13.95" hidden="1" customHeight="1">
      <c r="E121" s="130"/>
    </row>
    <row r="122" spans="5:5" s="128" customFormat="1" ht="13.95" hidden="1" customHeight="1">
      <c r="E122" s="130"/>
    </row>
    <row r="123" spans="5:5" s="128" customFormat="1" ht="13.95" hidden="1" customHeight="1">
      <c r="E123" s="130"/>
    </row>
    <row r="124" spans="5:5" s="128" customFormat="1" ht="13.95" hidden="1" customHeight="1">
      <c r="E124" s="130"/>
    </row>
    <row r="125" spans="5:5" s="128" customFormat="1" ht="13.95" hidden="1" customHeight="1">
      <c r="E125" s="130"/>
    </row>
    <row r="126" spans="5:5" s="128" customFormat="1" ht="13.95" hidden="1" customHeight="1">
      <c r="E126" s="130"/>
    </row>
    <row r="127" spans="5:5" s="128" customFormat="1" ht="13.95" hidden="1" customHeight="1">
      <c r="E127" s="130"/>
    </row>
    <row r="128" spans="5:5" s="128" customFormat="1" ht="13.95" hidden="1" customHeight="1">
      <c r="E128" s="130"/>
    </row>
    <row r="129" spans="5:5" s="128" customFormat="1" ht="13.95" hidden="1" customHeight="1">
      <c r="E129" s="130"/>
    </row>
    <row r="130" spans="5:5" s="128" customFormat="1" ht="13.95" hidden="1" customHeight="1">
      <c r="E130" s="130"/>
    </row>
    <row r="131" spans="5:5" s="128" customFormat="1" ht="13.95" hidden="1" customHeight="1">
      <c r="E131" s="130"/>
    </row>
    <row r="132" spans="5:5" s="128" customFormat="1" ht="13.95" hidden="1" customHeight="1">
      <c r="E132" s="130"/>
    </row>
    <row r="133" spans="5:5" s="128" customFormat="1" ht="13.95" hidden="1" customHeight="1">
      <c r="E133" s="130"/>
    </row>
    <row r="134" spans="5:5" s="128" customFormat="1" ht="13.95" hidden="1" customHeight="1">
      <c r="E134" s="130"/>
    </row>
    <row r="135" spans="5:5" s="128" customFormat="1" ht="13.95" hidden="1" customHeight="1">
      <c r="E135" s="130"/>
    </row>
    <row r="136" spans="5:5" s="128" customFormat="1" ht="13.95" hidden="1" customHeight="1">
      <c r="E136" s="130"/>
    </row>
    <row r="137" spans="5:5" s="128" customFormat="1" ht="13.95" hidden="1" customHeight="1">
      <c r="E137" s="130"/>
    </row>
    <row r="138" spans="5:5" s="128" customFormat="1" ht="13.95" hidden="1" customHeight="1">
      <c r="E138" s="130"/>
    </row>
    <row r="139" spans="5:5" s="128" customFormat="1" ht="13.95" hidden="1" customHeight="1">
      <c r="E139" s="130"/>
    </row>
    <row r="140" spans="5:5" s="128" customFormat="1" ht="13.95" hidden="1" customHeight="1">
      <c r="E140" s="130"/>
    </row>
    <row r="141" spans="5:5" s="128" customFormat="1" ht="13.95" hidden="1" customHeight="1">
      <c r="E141" s="130"/>
    </row>
    <row r="142" spans="5:5" s="128" customFormat="1" ht="13.95" hidden="1" customHeight="1">
      <c r="E142" s="130"/>
    </row>
    <row r="143" spans="5:5" s="128" customFormat="1" ht="13.95" hidden="1" customHeight="1">
      <c r="E143" s="130"/>
    </row>
    <row r="144" spans="5:5" s="128" customFormat="1" ht="13.95" hidden="1" customHeight="1">
      <c r="E144" s="130"/>
    </row>
    <row r="145" spans="5:5" s="128" customFormat="1" ht="13.95" hidden="1" customHeight="1">
      <c r="E145" s="130"/>
    </row>
    <row r="146" spans="5:5" s="128" customFormat="1" ht="13.95" hidden="1" customHeight="1">
      <c r="E146" s="130"/>
    </row>
    <row r="147" spans="5:5" s="128" customFormat="1" ht="13.95" hidden="1" customHeight="1">
      <c r="E147" s="130"/>
    </row>
    <row r="148" spans="5:5" s="128" customFormat="1" ht="13.95" hidden="1" customHeight="1">
      <c r="E148" s="130"/>
    </row>
    <row r="149" spans="5:5" s="128" customFormat="1" ht="13.95" hidden="1" customHeight="1">
      <c r="E149" s="130"/>
    </row>
    <row r="150" spans="5:5" s="128" customFormat="1" ht="13.95" hidden="1" customHeight="1">
      <c r="E150" s="130"/>
    </row>
    <row r="151" spans="5:5" s="128" customFormat="1" ht="13.95" hidden="1" customHeight="1">
      <c r="E151" s="130"/>
    </row>
    <row r="152" spans="5:5" s="128" customFormat="1" ht="13.95" hidden="1" customHeight="1">
      <c r="E152" s="130"/>
    </row>
    <row r="153" spans="5:5" s="128" customFormat="1" ht="13.95" hidden="1" customHeight="1">
      <c r="E153" s="130"/>
    </row>
    <row r="154" spans="5:5" s="128" customFormat="1" ht="13.95" hidden="1" customHeight="1">
      <c r="E154" s="130"/>
    </row>
    <row r="155" spans="5:5" s="128" customFormat="1" ht="13.95" hidden="1" customHeight="1">
      <c r="E155" s="130"/>
    </row>
    <row r="156" spans="5:5" s="128" customFormat="1" ht="13.95" hidden="1" customHeight="1">
      <c r="E156" s="130"/>
    </row>
    <row r="157" spans="5:5" s="128" customFormat="1" ht="13.95" hidden="1" customHeight="1">
      <c r="E157" s="130"/>
    </row>
    <row r="158" spans="5:5" s="128" customFormat="1" ht="13.95" hidden="1" customHeight="1">
      <c r="E158" s="130"/>
    </row>
    <row r="159" spans="5:5" s="128" customFormat="1" ht="13.95" hidden="1" customHeight="1">
      <c r="E159" s="130"/>
    </row>
    <row r="160" spans="5:5" s="128" customFormat="1" ht="13.95" hidden="1" customHeight="1">
      <c r="E160" s="130"/>
    </row>
    <row r="161" spans="5:5" s="128" customFormat="1" ht="13.95" hidden="1" customHeight="1">
      <c r="E161" s="130"/>
    </row>
    <row r="162" spans="5:5" s="128" customFormat="1" ht="13.95" hidden="1" customHeight="1">
      <c r="E162" s="130"/>
    </row>
    <row r="163" spans="5:5" s="128" customFormat="1" ht="13.95" hidden="1" customHeight="1">
      <c r="E163" s="130"/>
    </row>
    <row r="164" spans="5:5" s="128" customFormat="1" ht="13.95" hidden="1" customHeight="1">
      <c r="E164" s="130"/>
    </row>
    <row r="165" spans="5:5" s="128" customFormat="1" ht="13.95" hidden="1" customHeight="1">
      <c r="E165" s="130"/>
    </row>
    <row r="166" spans="5:5" s="128" customFormat="1" ht="13.95" hidden="1" customHeight="1">
      <c r="E166" s="130"/>
    </row>
    <row r="167" spans="5:5" s="128" customFormat="1" ht="13.95" hidden="1" customHeight="1">
      <c r="E167" s="130"/>
    </row>
    <row r="168" spans="5:5" s="128" customFormat="1" ht="13.95" hidden="1" customHeight="1">
      <c r="E168" s="130"/>
    </row>
    <row r="169" spans="5:5" s="128" customFormat="1" ht="13.95" hidden="1" customHeight="1">
      <c r="E169" s="130"/>
    </row>
    <row r="170" spans="5:5" s="128" customFormat="1" ht="13.95" hidden="1" customHeight="1">
      <c r="E170" s="130"/>
    </row>
    <row r="171" spans="5:5" s="128" customFormat="1" ht="13.95" hidden="1" customHeight="1">
      <c r="E171" s="130"/>
    </row>
    <row r="172" spans="5:5" s="128" customFormat="1" ht="13.95" hidden="1" customHeight="1">
      <c r="E172" s="130"/>
    </row>
    <row r="173" spans="5:5" s="128" customFormat="1" ht="13.95" hidden="1" customHeight="1">
      <c r="E173" s="130"/>
    </row>
    <row r="174" spans="5:5" s="128" customFormat="1" ht="13.95" hidden="1" customHeight="1">
      <c r="E174" s="130"/>
    </row>
    <row r="175" spans="5:5" s="128" customFormat="1" ht="13.95" hidden="1" customHeight="1">
      <c r="E175" s="130"/>
    </row>
    <row r="176" spans="5:5" s="128" customFormat="1" ht="13.95" hidden="1" customHeight="1">
      <c r="E176" s="130"/>
    </row>
    <row r="177" spans="5:5" s="128" customFormat="1" ht="13.95" hidden="1" customHeight="1">
      <c r="E177" s="130"/>
    </row>
    <row r="178" spans="5:5" s="128" customFormat="1" ht="13.95" hidden="1" customHeight="1">
      <c r="E178" s="130"/>
    </row>
    <row r="179" spans="5:5" s="128" customFormat="1" ht="13.95" hidden="1" customHeight="1">
      <c r="E179" s="130"/>
    </row>
    <row r="180" spans="5:5" s="128" customFormat="1" ht="13.95" hidden="1" customHeight="1">
      <c r="E180" s="130"/>
    </row>
    <row r="181" spans="5:5" s="128" customFormat="1" ht="13.95" hidden="1" customHeight="1">
      <c r="E181" s="130"/>
    </row>
    <row r="182" spans="5:5" s="128" customFormat="1" ht="13.95" hidden="1" customHeight="1">
      <c r="E182" s="130"/>
    </row>
    <row r="183" spans="5:5" s="128" customFormat="1" ht="13.95" hidden="1" customHeight="1">
      <c r="E183" s="130"/>
    </row>
    <row r="184" spans="5:5" s="128" customFormat="1" ht="13.95" hidden="1" customHeight="1">
      <c r="E184" s="130"/>
    </row>
    <row r="185" spans="5:5" s="128" customFormat="1" ht="13.95" hidden="1" customHeight="1">
      <c r="E185" s="130"/>
    </row>
    <row r="186" spans="5:5" s="128" customFormat="1" ht="13.95" hidden="1" customHeight="1">
      <c r="E186" s="130"/>
    </row>
    <row r="187" spans="5:5" s="128" customFormat="1" ht="13.95" hidden="1" customHeight="1">
      <c r="E187" s="130"/>
    </row>
    <row r="188" spans="5:5" s="128" customFormat="1" ht="13.95" hidden="1" customHeight="1">
      <c r="E188" s="130"/>
    </row>
    <row r="189" spans="5:5" s="128" customFormat="1" ht="13.95" hidden="1" customHeight="1">
      <c r="E189" s="130"/>
    </row>
    <row r="190" spans="5:5" s="128" customFormat="1" ht="13.95" hidden="1" customHeight="1">
      <c r="E190" s="130"/>
    </row>
    <row r="191" spans="5:5" s="128" customFormat="1" ht="13.95" hidden="1" customHeight="1">
      <c r="E191" s="130"/>
    </row>
    <row r="192" spans="5:5" s="128" customFormat="1" ht="13.95" hidden="1" customHeight="1">
      <c r="E192" s="130"/>
    </row>
  </sheetData>
  <sheetProtection password="8B16" sheet="1" objects="1" scenarios="1"/>
  <mergeCells count="7">
    <mergeCell ref="B2:P2"/>
    <mergeCell ref="C9:O9"/>
    <mergeCell ref="C41:O41"/>
    <mergeCell ref="C45:G45"/>
    <mergeCell ref="D5:E5"/>
    <mergeCell ref="G5:H5"/>
    <mergeCell ref="J22:P23"/>
  </mergeCells>
  <conditionalFormatting sqref="C41:O41">
    <cfRule type="expression" dxfId="46" priority="105" stopIfTrue="1">
      <formula>$I$17="Not Valid"</formula>
    </cfRule>
  </conditionalFormatting>
  <conditionalFormatting sqref="I11 I13 I15 I17 I19 I21 I26 I28 I32 I34 I36 I38 I43 I45">
    <cfRule type="expression" dxfId="45" priority="2" stopIfTrue="1">
      <formula>OR($R$11&gt;0,$R$13=0)</formula>
    </cfRule>
  </conditionalFormatting>
  <conditionalFormatting sqref="C9:O9">
    <cfRule type="expression" dxfId="44" priority="1" stopIfTrue="1">
      <formula>$R$11&gt;0</formula>
    </cfRule>
  </conditionalFormatting>
  <printOptions horizontalCentered="1" verticalCentered="1" gridLines="1"/>
  <pageMargins left="0.36" right="0.37" top="0.49" bottom="0.42" header="0.22" footer="0.22"/>
  <pageSetup scale="86" orientation="landscape" horizontalDpi="1200" r:id="rId1"/>
  <headerFooter alignWithMargins="0">
    <oddFooter>&amp;CAWWA Free Water Audit Software v5.0&amp;R&amp;A      &amp;P</oddFooter>
  </headerFooter>
  <ignoredErrors>
    <ignoredError sqref="R11" unlockedFormula="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8">
    <tabColor theme="3" tint="0.79998168889431442"/>
    <pageSetUpPr fitToPage="1"/>
  </sheetPr>
  <dimension ref="B1:P777"/>
  <sheetViews>
    <sheetView topLeftCell="B1" zoomScaleNormal="100" workbookViewId="0">
      <pane ySplit="7" topLeftCell="A8" activePane="bottomLeft" state="frozen"/>
      <selection pane="bottomLeft" activeCell="B8" sqref="B8"/>
    </sheetView>
  </sheetViews>
  <sheetFormatPr defaultColWidth="0" defaultRowHeight="13.2"/>
  <cols>
    <col min="1" max="1" width="1.33203125" style="76" customWidth="1"/>
    <col min="2" max="2" width="30.88671875" style="76" customWidth="1"/>
    <col min="3" max="3" width="132" style="76" customWidth="1"/>
    <col min="4" max="4" width="1.5546875" style="76" customWidth="1"/>
    <col min="5" max="16384" width="0" style="76" hidden="1"/>
  </cols>
  <sheetData>
    <row r="1" spans="2:16" s="566" customFormat="1" ht="7.2" customHeight="1" thickBot="1"/>
    <row r="2" spans="2:16" s="567" customFormat="1" ht="42" customHeight="1" thickBot="1">
      <c r="B2" s="734" t="s">
        <v>740</v>
      </c>
      <c r="C2" s="735"/>
    </row>
    <row r="3" spans="2:16" s="566" customFormat="1" ht="9" customHeight="1">
      <c r="B3" s="736" t="s">
        <v>661</v>
      </c>
      <c r="C3" s="736"/>
    </row>
    <row r="4" spans="2:16" s="566" customFormat="1" ht="8.4" customHeight="1" thickBot="1">
      <c r="B4" s="736"/>
      <c r="C4" s="736"/>
    </row>
    <row r="5" spans="2:16" s="566" customFormat="1" ht="71.400000000000006" customHeight="1" thickBot="1">
      <c r="B5" s="238" t="s">
        <v>318</v>
      </c>
      <c r="C5" s="665"/>
    </row>
    <row r="6" spans="2:16" s="566" customFormat="1" ht="5.4" customHeight="1" thickBot="1">
      <c r="B6" s="568"/>
      <c r="C6" s="568"/>
    </row>
    <row r="7" spans="2:16" s="566" customFormat="1" ht="16.2" customHeight="1">
      <c r="B7" s="78" t="s">
        <v>317</v>
      </c>
      <c r="C7" s="664" t="s">
        <v>288</v>
      </c>
    </row>
    <row r="8" spans="2:16" s="566" customFormat="1" ht="65.25" customHeight="1">
      <c r="B8" s="521" t="s">
        <v>131</v>
      </c>
      <c r="C8" s="666"/>
      <c r="E8" s="667"/>
      <c r="F8" s="667"/>
      <c r="G8" s="667"/>
      <c r="H8" s="667"/>
      <c r="I8" s="667"/>
      <c r="J8" s="667"/>
      <c r="K8" s="667"/>
      <c r="L8" s="667"/>
      <c r="M8" s="667"/>
      <c r="N8" s="667"/>
      <c r="O8" s="667"/>
      <c r="P8" s="668"/>
    </row>
    <row r="9" spans="2:16" s="566" customFormat="1" ht="53.4" customHeight="1">
      <c r="B9" s="521" t="s">
        <v>359</v>
      </c>
      <c r="C9" s="666"/>
    </row>
    <row r="10" spans="2:16" s="566" customFormat="1" ht="53.4" customHeight="1">
      <c r="B10" s="521" t="s">
        <v>4</v>
      </c>
      <c r="C10" s="666"/>
    </row>
    <row r="11" spans="2:16" s="566" customFormat="1" ht="53.4" customHeight="1">
      <c r="B11" s="521" t="s">
        <v>312</v>
      </c>
      <c r="C11" s="666"/>
    </row>
    <row r="12" spans="2:16" s="566" customFormat="1" ht="53.4" customHeight="1">
      <c r="B12" s="521" t="s">
        <v>5</v>
      </c>
      <c r="C12" s="662"/>
    </row>
    <row r="13" spans="2:16" s="566" customFormat="1" ht="53.4" customHeight="1">
      <c r="B13" s="521" t="s">
        <v>311</v>
      </c>
      <c r="C13" s="666"/>
    </row>
    <row r="14" spans="2:16" s="566" customFormat="1" ht="53.4" customHeight="1">
      <c r="B14" s="521" t="s">
        <v>132</v>
      </c>
      <c r="C14" s="666"/>
    </row>
    <row r="15" spans="2:16" s="566" customFormat="1" ht="53.4" customHeight="1">
      <c r="B15" s="521" t="s">
        <v>133</v>
      </c>
      <c r="C15" s="662"/>
    </row>
    <row r="16" spans="2:16" s="566" customFormat="1" ht="53.4" customHeight="1">
      <c r="B16" s="521" t="s">
        <v>134</v>
      </c>
      <c r="C16" s="662"/>
    </row>
    <row r="17" spans="2:3" s="566" customFormat="1" ht="53.4" customHeight="1">
      <c r="B17" s="521" t="s">
        <v>135</v>
      </c>
      <c r="C17" s="662"/>
    </row>
    <row r="18" spans="2:3" s="566" customFormat="1" ht="53.4" customHeight="1">
      <c r="B18" s="521" t="s">
        <v>136</v>
      </c>
      <c r="C18" s="662"/>
    </row>
    <row r="19" spans="2:3" s="566" customFormat="1" ht="53.4" customHeight="1">
      <c r="B19" s="521" t="s">
        <v>137</v>
      </c>
      <c r="C19" s="662"/>
    </row>
    <row r="20" spans="2:3" s="566" customFormat="1" ht="53.4" customHeight="1">
      <c r="B20" s="521" t="s">
        <v>3</v>
      </c>
      <c r="C20" s="662"/>
    </row>
    <row r="21" spans="2:3" s="566" customFormat="1" ht="53.4" customHeight="1">
      <c r="B21" s="521" t="s">
        <v>138</v>
      </c>
      <c r="C21" s="662"/>
    </row>
    <row r="22" spans="2:3" s="566" customFormat="1" ht="53.4" customHeight="1">
      <c r="B22" s="521" t="s">
        <v>128</v>
      </c>
      <c r="C22" s="662"/>
    </row>
    <row r="23" spans="2:3" s="566" customFormat="1" ht="53.4" customHeight="1">
      <c r="B23" s="521" t="s">
        <v>205</v>
      </c>
      <c r="C23" s="662"/>
    </row>
    <row r="24" spans="2:3" s="566" customFormat="1" ht="53.4" customHeight="1">
      <c r="B24" s="521" t="s">
        <v>139</v>
      </c>
      <c r="C24" s="662"/>
    </row>
    <row r="25" spans="2:3" s="566" customFormat="1" ht="53.4" customHeight="1">
      <c r="B25" s="521" t="s">
        <v>140</v>
      </c>
      <c r="C25" s="662"/>
    </row>
    <row r="26" spans="2:3" s="566" customFormat="1" ht="53.4" customHeight="1">
      <c r="B26" s="521" t="s">
        <v>129</v>
      </c>
      <c r="C26" s="662"/>
    </row>
    <row r="27" spans="2:3" s="566" customFormat="1" ht="53.4" customHeight="1" thickBot="1">
      <c r="B27" s="522" t="s">
        <v>130</v>
      </c>
      <c r="C27" s="663"/>
    </row>
    <row r="28" spans="2:3" ht="28.95" customHeight="1"/>
    <row r="777" spans="4:4">
      <c r="D777" s="76">
        <v>7</v>
      </c>
    </row>
  </sheetData>
  <sheetProtection sheet="1" objects="1" scenarios="1" formatColumns="0" formatRows="0"/>
  <mergeCells count="2">
    <mergeCell ref="B2:C2"/>
    <mergeCell ref="B3:C4"/>
  </mergeCells>
  <hyperlinks>
    <hyperlink ref="B8" location="'Reporting Worksheet'!G15" display="Volume from own sources:" xr:uid="{00000000-0004-0000-0300-000000000000}"/>
    <hyperlink ref="B9" location="'Reporting Worksheet'!N15" display="Vol. from own sources: Master meter error adjustment:" xr:uid="{00000000-0004-0000-0300-000001000000}"/>
    <hyperlink ref="B10" location="'Reporting Worksheet'!G16" display="Water imported:" xr:uid="{00000000-0004-0000-0300-000002000000}"/>
    <hyperlink ref="B12" location="'Reporting Worksheet'!G17" display="Water exported:" xr:uid="{00000000-0004-0000-0300-000003000000}"/>
    <hyperlink ref="B11" location="'Reporting Worksheet'!N16" display="Water imported: master meter error adjustment:" xr:uid="{00000000-0004-0000-0300-000004000000}"/>
    <hyperlink ref="B14" location="'Reporting Worksheet'!G23" display="Billed metered:" xr:uid="{00000000-0004-0000-0300-000005000000}"/>
    <hyperlink ref="B15" location="'Reporting Worksheet'!G24" display="Billed unmetered:" xr:uid="{00000000-0004-0000-0300-000006000000}"/>
    <hyperlink ref="B16" location="'Reporting Worksheet'!G25" display="Unbilled metered:" xr:uid="{00000000-0004-0000-0300-000007000000}"/>
    <hyperlink ref="B17" location="'Reporting Worksheet'!G26" display="Unbilled unmetered:" xr:uid="{00000000-0004-0000-0300-000008000000}"/>
    <hyperlink ref="B13" location="'Reporting Worksheet'!N17" display="Water exported meter error adjustment:" xr:uid="{00000000-0004-0000-0300-000009000000}"/>
    <hyperlink ref="B18" location="'Reporting Worksheet'!G38" display="Unauthorized consumption:" xr:uid="{00000000-0004-0000-0300-00000A000000}"/>
    <hyperlink ref="B19" location="'Reporting Worksheet'!G42" display="Customer metering inaccuracies:" xr:uid="{00000000-0004-0000-0300-00000B000000}"/>
    <hyperlink ref="B20" location="'Reporting Worksheet'!G43" display="Systematic data handling errors:" xr:uid="{00000000-0004-0000-0300-00000C000000}"/>
    <hyperlink ref="B21" location="'Reporting Worksheet'!G62" display="Length of mains:" xr:uid="{00000000-0004-0000-0300-00000D000000}"/>
    <hyperlink ref="B22" location="'Reporting Worksheet'!G63" display="Number of active AND inactive service connections:" xr:uid="{00000000-0004-0000-0300-00000E000000}"/>
    <hyperlink ref="B23" location="'Reporting Worksheet'!G67" display="Average length of customer service line:" xr:uid="{00000000-0004-0000-0300-00000F000000}"/>
    <hyperlink ref="B24" location="'Reporting Worksheet'!G69" display="Average operating pressure:" xr:uid="{00000000-0004-0000-0300-000010000000}"/>
    <hyperlink ref="B25" location="'Reporting Worksheet'!G76" display="Total annual cost of operating water system:" xr:uid="{00000000-0004-0000-0300-000011000000}"/>
    <hyperlink ref="B26" location="'Reporting Worksheet'!G77" display="Customer retail unit cost (applied to Apparent Losses):" xr:uid="{00000000-0004-0000-0300-000012000000}"/>
    <hyperlink ref="B27" location="'Reporting Worksheet'!G78" display="Variable production cost (applied to Real Losses):" xr:uid="{00000000-0004-0000-0300-000013000000}"/>
  </hyperlinks>
  <pageMargins left="0.25" right="0.25" top="0.5" bottom="0.5" header="0.3" footer="0.3"/>
  <pageSetup scale="82" fitToHeight="0" orientation="landscape" horizontalDpi="1200" verticalDpi="1200" r:id="rId1"/>
  <headerFooter>
    <oddFooter>&amp;CAWWA Free Water Audit Software v5.0&amp;R&amp;A     &amp;P</oddFooter>
  </headerFooter>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theme="3" tint="0.79998168889431442"/>
    <pageSetUpPr fitToPage="1"/>
  </sheetPr>
  <dimension ref="A1:Q1006"/>
  <sheetViews>
    <sheetView showGridLines="0" showRowColHeaders="0" topLeftCell="A2" zoomScaleNormal="100" workbookViewId="0">
      <selection activeCell="B2" sqref="B2:H3"/>
    </sheetView>
  </sheetViews>
  <sheetFormatPr defaultColWidth="0" defaultRowHeight="13.8" zeroHeight="1"/>
  <cols>
    <col min="1" max="1" width="0.88671875" style="7" customWidth="1"/>
    <col min="2" max="2" width="18.5546875" style="7" customWidth="1"/>
    <col min="3" max="4" width="17.109375" style="7" customWidth="1"/>
    <col min="5" max="5" width="17.44140625" style="7" customWidth="1"/>
    <col min="6" max="6" width="33.33203125" style="7" customWidth="1"/>
    <col min="7" max="7" width="40.33203125" style="7" customWidth="1"/>
    <col min="8" max="8" width="21.33203125" style="7" customWidth="1"/>
    <col min="9" max="9" width="1.33203125" style="7" customWidth="1"/>
    <col min="10" max="10" width="8.88671875" style="7" hidden="1" customWidth="1"/>
    <col min="11" max="11" width="28.5546875" style="7" hidden="1" customWidth="1"/>
    <col min="12" max="16" width="15.88671875" style="569" hidden="1" customWidth="1"/>
    <col min="17" max="17" width="15.88671875" style="7" hidden="1" customWidth="1"/>
    <col min="18" max="16384" width="8.88671875" style="7" hidden="1"/>
  </cols>
  <sheetData>
    <row r="1" spans="2:16" ht="3.75" customHeight="1" thickBot="1"/>
    <row r="2" spans="2:16" ht="24.6" customHeight="1" thickTop="1">
      <c r="B2" s="737" t="s">
        <v>680</v>
      </c>
      <c r="C2" s="738"/>
      <c r="D2" s="738"/>
      <c r="E2" s="738"/>
      <c r="F2" s="738"/>
      <c r="G2" s="738"/>
      <c r="H2" s="739"/>
      <c r="I2" s="8"/>
    </row>
    <row r="3" spans="2:16" ht="18" customHeight="1">
      <c r="B3" s="740"/>
      <c r="C3" s="741"/>
      <c r="D3" s="741"/>
      <c r="E3" s="741"/>
      <c r="F3" s="741"/>
      <c r="G3" s="741"/>
      <c r="H3" s="742"/>
      <c r="I3" s="8"/>
    </row>
    <row r="4" spans="2:16" ht="4.2" customHeight="1">
      <c r="B4" s="603"/>
      <c r="C4" s="604"/>
      <c r="D4" s="604"/>
      <c r="E4" s="604"/>
      <c r="F4" s="604"/>
      <c r="G4" s="605"/>
      <c r="H4" s="606"/>
      <c r="I4" s="8"/>
    </row>
    <row r="5" spans="2:16" ht="16.95" customHeight="1">
      <c r="B5" s="603"/>
      <c r="C5" s="604"/>
      <c r="D5" s="604"/>
      <c r="E5" s="224" t="s">
        <v>165</v>
      </c>
      <c r="F5" s="751" t="str">
        <f>IF(ISBLANK(Instructions!D18),"&lt;&lt; Please enter system details and contact information on the Instructions tab &gt;&gt;",Instructions!D18&amp;IF(ISBLANK(Instructions!D36),"","  ("&amp;Instructions!D36&amp;")"))</f>
        <v>XYZ Water Company  (ND123456789)</v>
      </c>
      <c r="G5" s="752"/>
      <c r="H5" s="606"/>
      <c r="I5" s="8"/>
    </row>
    <row r="6" spans="2:16" ht="18" customHeight="1">
      <c r="B6" s="603"/>
      <c r="C6" s="604"/>
      <c r="D6" s="604"/>
      <c r="E6" s="224" t="s">
        <v>166</v>
      </c>
      <c r="F6" s="612">
        <f>IF(ISBLANK(Instructions!D26),"",Instructions!D26)</f>
        <v>2017</v>
      </c>
      <c r="G6" s="613" t="str">
        <f>IF(ISBLANK(Instructions!D26),"",IF(Instructions!E26="Calendar Year","1/"&amp;Instructions!D26&amp;" - "&amp;"12/"&amp;Instructions!D26,IF(OR(ISBLANK(Instructions!D28),ISBLANK(Instructions!D30)),"",MONTH(Instructions!D28)&amp;"/"&amp;YEAR(Instructions!D28)&amp;" - "&amp;MONTH(Instructions!D30)&amp;"/"&amp;YEAR(Instructions!D30))))</f>
        <v>1/2017 - 12/2017</v>
      </c>
      <c r="H6" s="606"/>
      <c r="I6" s="8"/>
    </row>
    <row r="7" spans="2:16" ht="18" customHeight="1">
      <c r="B7" s="603"/>
      <c r="C7" s="604"/>
      <c r="D7" s="604"/>
      <c r="E7" s="224" t="s">
        <v>679</v>
      </c>
      <c r="F7" s="611">
        <f>IF(ISBLANK(Instructions!$D$34),"N/A*",IF(GradingAssessment!M24&gt;0,"N/A*",ROUND(GradingAssessment!G24,0)))</f>
        <v>74</v>
      </c>
      <c r="G7" s="616" t="str">
        <f>IF(F7="N/A*","* Confirm Units and Data Grading are Complete","")</f>
        <v/>
      </c>
      <c r="H7" s="606"/>
      <c r="I7" s="8"/>
    </row>
    <row r="8" spans="2:16" ht="6.6" customHeight="1" thickBot="1">
      <c r="B8" s="607"/>
      <c r="C8" s="608"/>
      <c r="D8" s="608"/>
      <c r="E8" s="608"/>
      <c r="F8" s="608"/>
      <c r="G8" s="609"/>
      <c r="H8" s="610"/>
      <c r="I8" s="8"/>
    </row>
    <row r="9" spans="2:16" ht="16.5" customHeight="1" thickTop="1">
      <c r="B9" s="585"/>
      <c r="C9" s="641"/>
      <c r="D9" s="649" t="s">
        <v>31</v>
      </c>
      <c r="E9" s="650"/>
      <c r="F9" s="651"/>
      <c r="G9" s="749" t="s">
        <v>190</v>
      </c>
      <c r="H9" s="652" t="s">
        <v>8</v>
      </c>
      <c r="I9" s="8"/>
    </row>
    <row r="10" spans="2:16" ht="16.5" customHeight="1" thickBot="1">
      <c r="B10" s="585"/>
      <c r="C10" s="268"/>
      <c r="D10" s="653">
        <f>IF('Reporting Worksheet'!G17&gt;0,IF('Reporting Worksheet'!R17=1,'Reporting Worksheet'!G17/(1+'Reporting Worksheet'!L17),'Reporting Worksheet'!G17-'Reporting Worksheet'!N17),0)</f>
        <v>0</v>
      </c>
      <c r="E10" s="654"/>
      <c r="F10" s="655"/>
      <c r="G10" s="750"/>
      <c r="H10" s="656">
        <f>D10</f>
        <v>0</v>
      </c>
      <c r="I10" s="8"/>
    </row>
    <row r="11" spans="2:16" ht="30" customHeight="1">
      <c r="B11" s="586"/>
      <c r="C11" s="642"/>
      <c r="D11" s="246"/>
      <c r="E11" s="247"/>
      <c r="F11" s="745" t="s">
        <v>7</v>
      </c>
      <c r="G11" s="657" t="s">
        <v>281</v>
      </c>
      <c r="H11" s="587" t="s">
        <v>8</v>
      </c>
      <c r="I11" s="8"/>
      <c r="K11" s="12" t="s">
        <v>356</v>
      </c>
      <c r="L11" s="570"/>
      <c r="M11" s="570"/>
      <c r="N11" s="570"/>
      <c r="O11" s="570"/>
      <c r="P11" s="570"/>
    </row>
    <row r="12" spans="2:16" ht="15.75" customHeight="1">
      <c r="B12" s="588"/>
      <c r="C12" s="643"/>
      <c r="D12" s="248"/>
      <c r="E12" s="249"/>
      <c r="F12" s="746"/>
      <c r="G12" s="250">
        <f>'Reporting Worksheet'!G23</f>
        <v>90</v>
      </c>
      <c r="H12" s="589"/>
      <c r="I12" s="8"/>
      <c r="K12" s="13"/>
      <c r="L12" s="570"/>
      <c r="M12" s="570"/>
      <c r="N12" s="570"/>
      <c r="O12" s="570"/>
      <c r="P12" s="570"/>
    </row>
    <row r="13" spans="2:16" ht="22.5" customHeight="1">
      <c r="B13" s="590" t="s">
        <v>254</v>
      </c>
      <c r="C13" s="644"/>
      <c r="D13" s="248"/>
      <c r="E13" s="503" t="s">
        <v>6</v>
      </c>
      <c r="F13" s="251">
        <f>'Reporting Worksheet'!G23+'Reporting Worksheet'!G24</f>
        <v>91</v>
      </c>
      <c r="G13" s="507" t="s">
        <v>9</v>
      </c>
      <c r="H13" s="591">
        <f>SUM(G12+G14)</f>
        <v>91</v>
      </c>
      <c r="I13" s="8"/>
      <c r="K13" s="579" t="s">
        <v>346</v>
      </c>
      <c r="L13" s="571">
        <f>'Water Balance'!B17</f>
        <v>0</v>
      </c>
      <c r="M13" s="571"/>
      <c r="N13" s="571"/>
      <c r="O13" s="571"/>
    </row>
    <row r="14" spans="2:16" ht="15.75" customHeight="1">
      <c r="B14" s="748" t="s">
        <v>255</v>
      </c>
      <c r="C14" s="645"/>
      <c r="D14" s="248"/>
      <c r="E14" s="252"/>
      <c r="F14" s="253"/>
      <c r="G14" s="254">
        <f>'Reporting Worksheet'!G24</f>
        <v>1</v>
      </c>
      <c r="H14" s="592"/>
      <c r="I14" s="8"/>
      <c r="K14" s="579" t="s">
        <v>30</v>
      </c>
      <c r="L14" s="571">
        <f>'Water Balance'!B27</f>
        <v>108.91089108910892</v>
      </c>
      <c r="M14" s="571"/>
      <c r="N14" s="571"/>
      <c r="O14" s="571"/>
    </row>
    <row r="15" spans="2:16" ht="15.75" customHeight="1">
      <c r="B15" s="748"/>
      <c r="C15" s="645"/>
      <c r="D15" s="248"/>
      <c r="E15" s="255">
        <f>'Reporting Worksheet'!G30</f>
        <v>93.361386138613867</v>
      </c>
      <c r="F15" s="747" t="s">
        <v>10</v>
      </c>
      <c r="G15" s="508" t="s">
        <v>11</v>
      </c>
      <c r="H15" s="743" t="s">
        <v>12</v>
      </c>
      <c r="I15" s="8"/>
      <c r="K15" s="579" t="s">
        <v>31</v>
      </c>
      <c r="L15" s="572">
        <f>'Water Balance'!D10</f>
        <v>0</v>
      </c>
      <c r="M15" s="572">
        <f>'Water Balance'!D10</f>
        <v>0</v>
      </c>
      <c r="N15" s="572">
        <f>'Water Balance'!D10</f>
        <v>0</v>
      </c>
      <c r="O15" s="572">
        <f>'Water Balance'!D10</f>
        <v>0</v>
      </c>
      <c r="P15" s="572">
        <f>'Water Balance'!D10</f>
        <v>0</v>
      </c>
    </row>
    <row r="16" spans="2:16" ht="15.75" customHeight="1">
      <c r="B16" s="588"/>
      <c r="C16" s="643"/>
      <c r="D16" s="248"/>
      <c r="E16" s="249"/>
      <c r="F16" s="746"/>
      <c r="G16" s="256">
        <f>'Reporting Worksheet'!G25</f>
        <v>1</v>
      </c>
      <c r="H16" s="744"/>
      <c r="I16" s="8"/>
      <c r="K16" s="579" t="s">
        <v>256</v>
      </c>
      <c r="L16" s="571"/>
      <c r="M16" s="573">
        <f>'Water Balance'!D21</f>
        <v>108.91089108910892</v>
      </c>
      <c r="N16" s="574"/>
      <c r="O16" s="574"/>
      <c r="P16" s="574"/>
    </row>
    <row r="17" spans="2:16" ht="22.5" customHeight="1">
      <c r="B17" s="593">
        <f>IF('Reporting Worksheet'!R15&gt;0,IF('Reporting Worksheet'!R15=1,'Reporting Worksheet'!G15/(1+'Reporting Worksheet'!L15),'Reporting Worksheet'!G15-'Reporting Worksheet'!N15),0)</f>
        <v>0</v>
      </c>
      <c r="C17" s="646"/>
      <c r="D17" s="257"/>
      <c r="E17" s="249"/>
      <c r="F17" s="258">
        <f>'Reporting Worksheet'!G25+'Reporting Worksheet'!G26</f>
        <v>2.3613861386138613</v>
      </c>
      <c r="G17" s="506" t="s">
        <v>13</v>
      </c>
      <c r="H17" s="589"/>
      <c r="I17" s="8"/>
      <c r="K17" s="579" t="s">
        <v>6</v>
      </c>
      <c r="L17" s="571"/>
      <c r="M17" s="574"/>
      <c r="N17" s="573">
        <f>'Water Balance'!E15</f>
        <v>93.361386138613867</v>
      </c>
      <c r="O17" s="574"/>
      <c r="P17" s="574"/>
    </row>
    <row r="18" spans="2:16" ht="15.75" customHeight="1">
      <c r="B18" s="588"/>
      <c r="C18" s="643"/>
      <c r="D18" s="248"/>
      <c r="E18" s="259"/>
      <c r="F18" s="253"/>
      <c r="G18" s="260">
        <f>'Reporting Worksheet'!G26</f>
        <v>1.3613861386138615</v>
      </c>
      <c r="H18" s="589"/>
      <c r="I18" s="8"/>
      <c r="K18" s="579" t="s">
        <v>119</v>
      </c>
      <c r="L18" s="571"/>
      <c r="M18" s="574"/>
      <c r="N18" s="573">
        <f>'Water Balance'!E25</f>
        <v>15.549504950495049</v>
      </c>
      <c r="O18" s="574"/>
      <c r="P18" s="574"/>
    </row>
    <row r="19" spans="2:16" ht="22.5" customHeight="1">
      <c r="B19" s="588"/>
      <c r="C19" s="502" t="s">
        <v>759</v>
      </c>
      <c r="D19" s="502" t="s">
        <v>256</v>
      </c>
      <c r="E19" s="247"/>
      <c r="F19" s="261"/>
      <c r="G19" s="507" t="s">
        <v>14</v>
      </c>
      <c r="H19" s="594">
        <f>'Reporting Worksheet'!G25+'Reporting Worksheet'!G26+'Reporting Worksheet'!G47+'Reporting Worksheet'!G52</f>
        <v>17.910891089108908</v>
      </c>
      <c r="I19" s="8"/>
      <c r="K19" s="579" t="s">
        <v>720</v>
      </c>
      <c r="L19" s="571"/>
      <c r="M19" s="574"/>
      <c r="N19" s="574"/>
      <c r="O19" s="573">
        <f>'Water Balance'!F13</f>
        <v>91</v>
      </c>
      <c r="P19" s="574"/>
    </row>
    <row r="20" spans="2:16" ht="15.75" customHeight="1">
      <c r="B20" s="588"/>
      <c r="C20" s="262">
        <f>B17+B27</f>
        <v>108.91089108910892</v>
      </c>
      <c r="D20" s="248"/>
      <c r="E20" s="249"/>
      <c r="F20" s="505" t="s">
        <v>120</v>
      </c>
      <c r="G20" s="256">
        <f>'Reporting Worksheet'!G38</f>
        <v>0.2722772277227723</v>
      </c>
      <c r="H20" s="589"/>
      <c r="I20" s="8"/>
      <c r="K20" s="579" t="s">
        <v>719</v>
      </c>
      <c r="L20" s="571"/>
      <c r="M20" s="574"/>
      <c r="N20" s="574"/>
      <c r="O20" s="573">
        <f>'Water Balance'!F17</f>
        <v>2.3613861386138613</v>
      </c>
      <c r="P20" s="574"/>
    </row>
    <row r="21" spans="2:16" ht="14.25" customHeight="1">
      <c r="B21" s="595"/>
      <c r="C21" s="648"/>
      <c r="D21" s="262">
        <f>'Reporting Worksheet'!G19</f>
        <v>108.91089108910892</v>
      </c>
      <c r="E21" s="263"/>
      <c r="F21" s="258">
        <f>'Reporting Worksheet'!G47</f>
        <v>9.4972772277227726</v>
      </c>
      <c r="G21" s="506" t="s">
        <v>15</v>
      </c>
      <c r="H21" s="589"/>
      <c r="I21" s="8"/>
      <c r="K21" s="579" t="s">
        <v>120</v>
      </c>
      <c r="L21" s="571"/>
      <c r="M21" s="574"/>
      <c r="N21" s="574"/>
      <c r="O21" s="573">
        <f>'Water Balance'!F21</f>
        <v>9.4972772277227726</v>
      </c>
      <c r="P21" s="574"/>
    </row>
    <row r="22" spans="2:16" ht="15.75" customHeight="1">
      <c r="B22" s="588"/>
      <c r="C22" s="643"/>
      <c r="D22" s="248"/>
      <c r="E22" s="249"/>
      <c r="F22" s="263"/>
      <c r="G22" s="264">
        <f>'Reporting Worksheet'!G42</f>
        <v>9</v>
      </c>
      <c r="H22" s="589"/>
      <c r="I22" s="8"/>
      <c r="K22" s="579" t="s">
        <v>121</v>
      </c>
      <c r="L22" s="571"/>
      <c r="M22" s="574"/>
      <c r="N22" s="574"/>
      <c r="O22" s="573">
        <f>'Water Balance'!F27</f>
        <v>6.0522277227722761</v>
      </c>
      <c r="P22" s="574"/>
    </row>
    <row r="23" spans="2:16" ht="23.25" customHeight="1">
      <c r="B23" s="588"/>
      <c r="C23" s="643"/>
      <c r="D23" s="248"/>
      <c r="E23" s="249"/>
      <c r="F23" s="263"/>
      <c r="G23" s="506" t="s">
        <v>175</v>
      </c>
      <c r="H23" s="589"/>
      <c r="I23" s="8"/>
      <c r="K23" s="579" t="s">
        <v>8</v>
      </c>
      <c r="L23" s="571"/>
      <c r="M23" s="574"/>
      <c r="N23" s="574"/>
      <c r="O23" s="574"/>
      <c r="P23" s="573">
        <f>'Water Balance'!H13</f>
        <v>91</v>
      </c>
    </row>
    <row r="24" spans="2:16" ht="15.75" customHeight="1">
      <c r="B24" s="588"/>
      <c r="C24" s="643"/>
      <c r="D24" s="248"/>
      <c r="E24" s="504" t="s">
        <v>119</v>
      </c>
      <c r="F24" s="253"/>
      <c r="G24" s="256">
        <f>'Reporting Worksheet'!G43</f>
        <v>0.22500000000000001</v>
      </c>
      <c r="H24" s="589"/>
      <c r="I24" s="8"/>
      <c r="K24" s="579" t="s">
        <v>336</v>
      </c>
      <c r="L24" s="571"/>
      <c r="M24" s="574"/>
      <c r="N24" s="574"/>
      <c r="O24" s="574"/>
      <c r="P24" s="573">
        <f>'Water Balance'!H19</f>
        <v>17.910891089108908</v>
      </c>
    </row>
    <row r="25" spans="2:16" ht="26.25" customHeight="1">
      <c r="B25" s="596" t="s">
        <v>30</v>
      </c>
      <c r="C25" s="644"/>
      <c r="D25" s="248"/>
      <c r="E25" s="265">
        <f>'Reporting Worksheet'!G54</f>
        <v>15.549504950495049</v>
      </c>
      <c r="F25" s="263"/>
      <c r="G25" s="506" t="s">
        <v>16</v>
      </c>
      <c r="H25" s="589"/>
      <c r="I25" s="8"/>
      <c r="K25" s="64"/>
      <c r="L25" s="575">
        <f>L13+L14</f>
        <v>108.91089108910892</v>
      </c>
      <c r="M25" s="575">
        <f>SUM(M13:M24)</f>
        <v>108.91089108910892</v>
      </c>
      <c r="N25" s="575">
        <f>SUM(N13:N24)</f>
        <v>108.91089108910892</v>
      </c>
      <c r="O25" s="575">
        <f>SUM(O13:O24)</f>
        <v>108.91089108910892</v>
      </c>
      <c r="P25" s="575">
        <f>SUM(P13:P24)</f>
        <v>108.9108910891089</v>
      </c>
    </row>
    <row r="26" spans="2:16" ht="15.75" customHeight="1">
      <c r="B26" s="588"/>
      <c r="C26" s="643"/>
      <c r="D26" s="248"/>
      <c r="E26" s="249"/>
      <c r="F26" s="505" t="s">
        <v>121</v>
      </c>
      <c r="G26" s="266" t="s">
        <v>271</v>
      </c>
      <c r="H26" s="589"/>
      <c r="I26" s="8"/>
    </row>
    <row r="27" spans="2:16" ht="24.75" customHeight="1">
      <c r="B27" s="593">
        <f>IF('Reporting Worksheet'!G16&gt;0,IF('Reporting Worksheet'!R16=1,'Reporting Worksheet'!G16/(1+'Reporting Worksheet'!L16),'Reporting Worksheet'!G16-'Reporting Worksheet'!N16),0)</f>
        <v>108.91089108910892</v>
      </c>
      <c r="C27" s="646"/>
      <c r="D27" s="248"/>
      <c r="E27" s="249"/>
      <c r="F27" s="258">
        <f>'Reporting Worksheet'!G52</f>
        <v>6.0522277227722761</v>
      </c>
      <c r="G27" s="507" t="s">
        <v>17</v>
      </c>
      <c r="H27" s="589"/>
      <c r="I27" s="8"/>
    </row>
    <row r="28" spans="2:16" ht="16.5" customHeight="1">
      <c r="B28" s="588"/>
      <c r="C28" s="643"/>
      <c r="D28" s="248"/>
      <c r="E28" s="249"/>
      <c r="F28" s="263"/>
      <c r="G28" s="267" t="s">
        <v>271</v>
      </c>
      <c r="H28" s="589"/>
      <c r="I28" s="8"/>
    </row>
    <row r="29" spans="2:16" ht="12.75" customHeight="1">
      <c r="B29" s="588"/>
      <c r="C29" s="643"/>
      <c r="D29" s="248"/>
      <c r="E29" s="249"/>
      <c r="F29" s="263"/>
      <c r="G29" s="506" t="s">
        <v>270</v>
      </c>
      <c r="H29" s="589"/>
      <c r="I29" s="8"/>
    </row>
    <row r="30" spans="2:16" ht="14.4" thickBot="1">
      <c r="B30" s="597"/>
      <c r="C30" s="647"/>
      <c r="D30" s="598"/>
      <c r="E30" s="599"/>
      <c r="F30" s="600"/>
      <c r="G30" s="601" t="s">
        <v>271</v>
      </c>
      <c r="H30" s="602"/>
      <c r="I30" s="8"/>
    </row>
    <row r="31" spans="2:16" ht="14.4" thickTop="1">
      <c r="B31" s="10"/>
      <c r="C31" s="10"/>
      <c r="D31" s="10"/>
      <c r="E31" s="10"/>
      <c r="F31" s="8"/>
      <c r="G31" s="8"/>
      <c r="H31" s="8"/>
      <c r="I31" s="8"/>
    </row>
    <row r="32" spans="2:16" hidden="1">
      <c r="B32" s="8"/>
      <c r="C32" s="8"/>
      <c r="D32" s="8"/>
      <c r="E32" s="8"/>
      <c r="F32" s="8"/>
      <c r="G32" s="8"/>
      <c r="H32" s="8"/>
      <c r="I32" s="8"/>
    </row>
    <row r="33" spans="2:9" hidden="1">
      <c r="B33" s="8"/>
      <c r="C33" s="8"/>
      <c r="D33" s="8"/>
      <c r="E33" s="8"/>
      <c r="F33" s="8"/>
      <c r="G33" s="8"/>
      <c r="H33" s="8"/>
      <c r="I33" s="8"/>
    </row>
    <row r="34" spans="2:9" hidden="1">
      <c r="B34" s="8"/>
      <c r="C34" s="8"/>
      <c r="D34" s="8"/>
      <c r="E34" s="8"/>
      <c r="F34" s="8"/>
      <c r="G34" s="8"/>
      <c r="H34" s="8"/>
      <c r="I34" s="8"/>
    </row>
    <row r="35" spans="2:9" hidden="1">
      <c r="B35" s="8"/>
      <c r="C35" s="8"/>
      <c r="D35" s="8"/>
      <c r="E35" s="8"/>
      <c r="F35" s="8"/>
      <c r="G35" s="8"/>
      <c r="H35" s="8"/>
      <c r="I35" s="8"/>
    </row>
    <row r="36" spans="2:9" hidden="1">
      <c r="B36" s="8"/>
      <c r="C36" s="8"/>
      <c r="D36" s="8"/>
      <c r="E36" s="8"/>
      <c r="F36" s="8"/>
      <c r="G36" s="8"/>
      <c r="H36" s="8"/>
      <c r="I36" s="8"/>
    </row>
    <row r="37" spans="2:9" hidden="1">
      <c r="B37" s="8"/>
      <c r="C37" s="8"/>
      <c r="D37" s="8"/>
      <c r="E37" s="8"/>
      <c r="F37" s="8"/>
      <c r="G37" s="8"/>
      <c r="H37" s="8"/>
      <c r="I37" s="8"/>
    </row>
    <row r="38" spans="2:9" hidden="1">
      <c r="B38" s="8"/>
      <c r="C38" s="8"/>
      <c r="D38" s="8"/>
      <c r="E38" s="8"/>
      <c r="F38" s="8"/>
      <c r="G38" s="8"/>
      <c r="H38" s="8"/>
      <c r="I38" s="8"/>
    </row>
    <row r="39" spans="2:9" hidden="1">
      <c r="B39" s="8"/>
      <c r="C39" s="8"/>
      <c r="D39" s="8"/>
      <c r="E39" s="8"/>
      <c r="F39" s="8"/>
      <c r="G39" s="8"/>
      <c r="H39" s="8"/>
      <c r="I39" s="8"/>
    </row>
    <row r="40" spans="2:9" hidden="1">
      <c r="B40" s="8"/>
      <c r="C40" s="8"/>
      <c r="D40" s="8"/>
      <c r="E40" s="8"/>
      <c r="F40" s="8"/>
      <c r="G40" s="8"/>
      <c r="H40" s="8"/>
      <c r="I40" s="8"/>
    </row>
    <row r="41" spans="2:9" hidden="1">
      <c r="B41" s="8"/>
      <c r="C41" s="8"/>
      <c r="D41" s="8"/>
      <c r="E41" s="8"/>
      <c r="F41" s="8"/>
      <c r="G41" s="8"/>
      <c r="H41" s="8"/>
      <c r="I41" s="8"/>
    </row>
    <row r="42" spans="2:9" hidden="1">
      <c r="B42" s="8"/>
      <c r="C42" s="8"/>
      <c r="D42" s="8"/>
      <c r="E42" s="8"/>
      <c r="F42" s="8"/>
      <c r="G42" s="8"/>
      <c r="H42" s="8"/>
      <c r="I42" s="8"/>
    </row>
    <row r="43" spans="2:9" hidden="1">
      <c r="B43" s="8"/>
      <c r="C43" s="8"/>
      <c r="D43" s="8"/>
      <c r="E43" s="8"/>
      <c r="F43" s="8"/>
      <c r="G43" s="8"/>
      <c r="H43" s="8"/>
      <c r="I43" s="8"/>
    </row>
    <row r="44" spans="2:9" hidden="1">
      <c r="B44" s="8"/>
      <c r="C44" s="8"/>
      <c r="D44" s="8"/>
      <c r="E44" s="8"/>
      <c r="F44" s="8"/>
      <c r="G44" s="8"/>
      <c r="H44" s="8"/>
      <c r="I44" s="8"/>
    </row>
    <row r="45" spans="2:9" hidden="1">
      <c r="B45" s="8"/>
      <c r="C45" s="8"/>
      <c r="D45" s="8"/>
      <c r="E45" s="8"/>
      <c r="F45" s="8"/>
      <c r="G45" s="8"/>
      <c r="H45" s="8"/>
      <c r="I45" s="8"/>
    </row>
    <row r="46" spans="2:9" hidden="1">
      <c r="B46" s="8"/>
      <c r="C46" s="8"/>
      <c r="D46" s="8"/>
      <c r="E46" s="8"/>
      <c r="F46" s="8"/>
      <c r="G46" s="8"/>
      <c r="H46" s="8"/>
      <c r="I46" s="8"/>
    </row>
    <row r="47" spans="2:9" ht="12.75" hidden="1" customHeight="1">
      <c r="B47" s="8"/>
      <c r="C47" s="8"/>
      <c r="D47" s="8"/>
      <c r="E47" s="8"/>
      <c r="F47" s="8"/>
      <c r="G47" s="8"/>
      <c r="H47" s="8"/>
      <c r="I47" s="8"/>
    </row>
    <row r="48" spans="2:9" hidden="1">
      <c r="B48" s="8"/>
      <c r="C48" s="8"/>
      <c r="D48" s="8"/>
      <c r="E48" s="8"/>
      <c r="F48" s="8"/>
      <c r="G48" s="8"/>
      <c r="H48" s="8"/>
      <c r="I48" s="8"/>
    </row>
    <row r="49" spans="2:9" hidden="1">
      <c r="B49" s="8"/>
      <c r="C49" s="8"/>
      <c r="D49" s="8"/>
      <c r="E49" s="8"/>
      <c r="F49" s="8"/>
      <c r="G49" s="8"/>
      <c r="H49" s="8"/>
      <c r="I49" s="8"/>
    </row>
    <row r="50" spans="2:9" hidden="1">
      <c r="B50" s="8"/>
      <c r="C50" s="8"/>
      <c r="D50" s="8"/>
      <c r="E50" s="8"/>
      <c r="F50" s="8"/>
      <c r="G50" s="8"/>
      <c r="H50" s="8"/>
      <c r="I50" s="8"/>
    </row>
    <row r="51" spans="2:9" hidden="1">
      <c r="B51" s="8"/>
      <c r="C51" s="8"/>
      <c r="D51" s="8"/>
      <c r="E51" s="8"/>
      <c r="F51" s="8"/>
      <c r="G51" s="8"/>
      <c r="H51" s="8"/>
      <c r="I51" s="8"/>
    </row>
    <row r="52" spans="2:9" hidden="1">
      <c r="B52" s="8"/>
      <c r="C52" s="8"/>
      <c r="D52" s="8"/>
      <c r="E52" s="8"/>
      <c r="F52" s="8"/>
      <c r="G52" s="8"/>
      <c r="H52" s="8"/>
      <c r="I52" s="8"/>
    </row>
    <row r="53" spans="2:9" hidden="1">
      <c r="B53" s="8"/>
      <c r="C53" s="8"/>
      <c r="D53" s="8"/>
      <c r="E53" s="8"/>
      <c r="F53" s="8"/>
      <c r="G53" s="8"/>
      <c r="H53" s="8"/>
      <c r="I53" s="8"/>
    </row>
    <row r="54" spans="2:9" hidden="1">
      <c r="B54" s="8"/>
      <c r="C54" s="8"/>
      <c r="D54" s="8"/>
      <c r="E54" s="8"/>
      <c r="F54" s="8"/>
      <c r="G54" s="8"/>
      <c r="H54" s="8"/>
      <c r="I54" s="8"/>
    </row>
    <row r="55" spans="2:9" hidden="1">
      <c r="B55" s="8"/>
      <c r="C55" s="8"/>
      <c r="D55" s="8"/>
      <c r="E55" s="8"/>
      <c r="F55" s="8"/>
      <c r="G55" s="8"/>
      <c r="H55" s="8"/>
      <c r="I55" s="8"/>
    </row>
    <row r="56" spans="2:9" hidden="1">
      <c r="B56" s="8"/>
      <c r="C56" s="8"/>
      <c r="D56" s="8"/>
      <c r="E56" s="8"/>
      <c r="F56" s="8"/>
      <c r="G56" s="8"/>
      <c r="H56" s="8"/>
      <c r="I56" s="8"/>
    </row>
    <row r="57" spans="2:9" hidden="1">
      <c r="B57" s="8"/>
      <c r="C57" s="8"/>
      <c r="D57" s="8"/>
      <c r="E57" s="8"/>
      <c r="F57" s="8"/>
      <c r="G57" s="8"/>
      <c r="H57" s="8"/>
      <c r="I57" s="8"/>
    </row>
    <row r="58" spans="2:9" hidden="1">
      <c r="B58" s="8"/>
      <c r="C58" s="8"/>
      <c r="D58" s="8"/>
      <c r="E58" s="8"/>
      <c r="F58" s="8"/>
      <c r="G58" s="8"/>
      <c r="H58" s="8"/>
      <c r="I58" s="8"/>
    </row>
    <row r="59" spans="2:9" hidden="1">
      <c r="B59" s="8"/>
      <c r="C59" s="8"/>
      <c r="D59" s="8"/>
      <c r="E59" s="8"/>
      <c r="F59" s="8"/>
      <c r="G59" s="8"/>
      <c r="H59" s="8"/>
      <c r="I59" s="8"/>
    </row>
    <row r="60" spans="2:9" hidden="1">
      <c r="B60" s="8"/>
      <c r="C60" s="8"/>
      <c r="D60" s="8"/>
      <c r="E60" s="8"/>
      <c r="F60" s="8"/>
      <c r="G60" s="8"/>
      <c r="H60" s="8"/>
      <c r="I60" s="8"/>
    </row>
    <row r="61" spans="2:9" hidden="1">
      <c r="B61" s="8"/>
      <c r="C61" s="8"/>
      <c r="D61" s="8"/>
      <c r="E61" s="8"/>
      <c r="F61" s="8"/>
      <c r="G61" s="8"/>
      <c r="H61" s="8"/>
      <c r="I61" s="8"/>
    </row>
    <row r="62" spans="2:9" hidden="1">
      <c r="B62" s="8"/>
      <c r="C62" s="8"/>
      <c r="D62" s="8"/>
      <c r="E62" s="8"/>
      <c r="F62" s="8"/>
      <c r="G62" s="8"/>
      <c r="H62" s="8"/>
      <c r="I62" s="8"/>
    </row>
    <row r="63" spans="2:9" hidden="1">
      <c r="B63" s="8"/>
      <c r="C63" s="8"/>
      <c r="D63" s="8"/>
      <c r="E63" s="8"/>
      <c r="F63" s="8"/>
      <c r="G63" s="8"/>
      <c r="H63" s="8"/>
      <c r="I63" s="8"/>
    </row>
    <row r="64" spans="2:9" hidden="1">
      <c r="B64" s="8"/>
      <c r="C64" s="8"/>
      <c r="D64" s="8"/>
      <c r="E64" s="8"/>
      <c r="F64" s="8"/>
      <c r="G64" s="8"/>
      <c r="H64" s="8"/>
      <c r="I64" s="8"/>
    </row>
    <row r="65" spans="2:9" hidden="1">
      <c r="B65" s="8"/>
      <c r="C65" s="8"/>
      <c r="D65" s="8"/>
      <c r="E65" s="8"/>
      <c r="F65" s="8"/>
      <c r="G65" s="8"/>
      <c r="H65" s="8"/>
      <c r="I65" s="8"/>
    </row>
    <row r="66" spans="2:9" hidden="1">
      <c r="B66" s="8"/>
      <c r="C66" s="8"/>
      <c r="D66" s="8"/>
      <c r="E66" s="8"/>
      <c r="F66" s="8"/>
      <c r="G66" s="8"/>
      <c r="H66" s="8"/>
      <c r="I66" s="8"/>
    </row>
    <row r="67" spans="2:9" hidden="1">
      <c r="B67" s="8"/>
      <c r="C67" s="8"/>
      <c r="D67" s="8"/>
      <c r="E67" s="8"/>
      <c r="F67" s="8"/>
      <c r="G67" s="8"/>
      <c r="H67" s="8"/>
      <c r="I67" s="8"/>
    </row>
    <row r="68" spans="2:9" hidden="1">
      <c r="B68" s="8"/>
      <c r="C68" s="8"/>
      <c r="D68" s="8"/>
      <c r="E68" s="8"/>
      <c r="F68" s="8"/>
      <c r="G68" s="8"/>
      <c r="H68" s="8"/>
      <c r="I68" s="8"/>
    </row>
    <row r="69" spans="2:9" hidden="1">
      <c r="B69" s="8"/>
      <c r="C69" s="8"/>
      <c r="D69" s="8"/>
      <c r="E69" s="8"/>
      <c r="F69" s="8"/>
      <c r="G69" s="8"/>
      <c r="H69" s="8"/>
      <c r="I69" s="8"/>
    </row>
    <row r="70" spans="2:9" hidden="1">
      <c r="B70" s="8"/>
      <c r="C70" s="8"/>
      <c r="D70" s="8"/>
      <c r="E70" s="8"/>
      <c r="F70" s="8"/>
      <c r="G70" s="8"/>
      <c r="H70" s="8"/>
      <c r="I70" s="8"/>
    </row>
    <row r="71" spans="2:9" hidden="1">
      <c r="B71" s="8"/>
      <c r="C71" s="8"/>
      <c r="D71" s="8"/>
      <c r="E71" s="8"/>
      <c r="F71" s="8"/>
      <c r="G71" s="8"/>
      <c r="H71" s="8"/>
      <c r="I71" s="8"/>
    </row>
    <row r="72" spans="2:9" hidden="1">
      <c r="B72" s="8"/>
      <c r="C72" s="8"/>
      <c r="D72" s="8"/>
      <c r="E72" s="8"/>
      <c r="F72" s="8"/>
      <c r="G72" s="8"/>
      <c r="H72" s="8"/>
      <c r="I72" s="8"/>
    </row>
    <row r="73" spans="2:9" hidden="1">
      <c r="B73" s="8"/>
      <c r="C73" s="8"/>
      <c r="D73" s="8"/>
      <c r="E73" s="8"/>
      <c r="F73" s="8"/>
      <c r="G73" s="8"/>
      <c r="H73" s="8"/>
      <c r="I73" s="8"/>
    </row>
    <row r="74" spans="2:9" hidden="1">
      <c r="B74" s="8"/>
      <c r="C74" s="8"/>
      <c r="D74" s="8"/>
      <c r="E74" s="8"/>
      <c r="F74" s="8"/>
      <c r="G74" s="8"/>
      <c r="H74" s="8"/>
      <c r="I74" s="8"/>
    </row>
    <row r="75" spans="2:9" hidden="1">
      <c r="B75" s="8"/>
      <c r="C75" s="8"/>
      <c r="D75" s="8"/>
      <c r="E75" s="8"/>
      <c r="F75" s="8"/>
      <c r="G75" s="8"/>
      <c r="H75" s="8"/>
      <c r="I75" s="8"/>
    </row>
    <row r="76" spans="2:9" hidden="1">
      <c r="B76" s="8"/>
      <c r="C76" s="8"/>
      <c r="D76" s="8"/>
      <c r="E76" s="8"/>
      <c r="F76" s="8"/>
      <c r="G76" s="8"/>
      <c r="H76" s="8"/>
      <c r="I76" s="8"/>
    </row>
    <row r="77" spans="2:9" hidden="1">
      <c r="B77" s="8"/>
      <c r="C77" s="8"/>
      <c r="D77" s="8"/>
      <c r="E77" s="8"/>
      <c r="F77" s="8"/>
      <c r="G77" s="8"/>
      <c r="H77" s="8"/>
      <c r="I77" s="8"/>
    </row>
    <row r="78" spans="2:9" hidden="1">
      <c r="B78" s="8"/>
      <c r="C78" s="8"/>
      <c r="D78" s="8"/>
      <c r="E78" s="8"/>
      <c r="F78" s="8"/>
      <c r="G78" s="8"/>
      <c r="H78" s="8"/>
      <c r="I78" s="8"/>
    </row>
    <row r="79" spans="2:9" hidden="1">
      <c r="B79" s="8"/>
      <c r="C79" s="8"/>
      <c r="D79" s="8"/>
      <c r="E79" s="8"/>
      <c r="F79" s="8"/>
      <c r="G79" s="8"/>
      <c r="H79" s="8"/>
      <c r="I79" s="8"/>
    </row>
    <row r="80" spans="2:9" hidden="1">
      <c r="B80" s="8"/>
      <c r="C80" s="8"/>
      <c r="D80" s="8"/>
      <c r="E80" s="8"/>
      <c r="F80" s="8"/>
      <c r="G80" s="8"/>
      <c r="H80" s="8"/>
      <c r="I80" s="8"/>
    </row>
    <row r="81" spans="2:9" hidden="1">
      <c r="B81" s="8"/>
      <c r="C81" s="8"/>
      <c r="D81" s="8"/>
      <c r="E81" s="8"/>
      <c r="F81" s="8"/>
      <c r="G81" s="8"/>
      <c r="H81" s="8"/>
      <c r="I81" s="8"/>
    </row>
    <row r="82" spans="2:9" hidden="1">
      <c r="B82" s="8"/>
      <c r="C82" s="8"/>
      <c r="D82" s="8"/>
      <c r="E82" s="8"/>
      <c r="F82" s="8"/>
      <c r="G82" s="8"/>
      <c r="H82" s="8"/>
      <c r="I82" s="8"/>
    </row>
    <row r="83" spans="2:9" hidden="1">
      <c r="B83" s="8"/>
      <c r="C83" s="8"/>
      <c r="D83" s="8"/>
      <c r="E83" s="8"/>
      <c r="F83" s="8"/>
      <c r="G83" s="8"/>
      <c r="H83" s="8"/>
      <c r="I83" s="8"/>
    </row>
    <row r="84" spans="2:9" hidden="1">
      <c r="B84" s="8"/>
      <c r="C84" s="8"/>
      <c r="D84" s="8"/>
      <c r="E84" s="8"/>
      <c r="F84" s="8"/>
      <c r="G84" s="8"/>
      <c r="H84" s="8"/>
      <c r="I84" s="8"/>
    </row>
    <row r="85" spans="2:9" hidden="1">
      <c r="B85" s="8"/>
      <c r="C85" s="8"/>
      <c r="D85" s="8"/>
      <c r="E85" s="8"/>
      <c r="F85" s="8"/>
      <c r="G85" s="8"/>
      <c r="H85" s="8"/>
      <c r="I85" s="8"/>
    </row>
    <row r="86" spans="2:9" hidden="1">
      <c r="B86" s="8"/>
      <c r="C86" s="8"/>
      <c r="D86" s="8"/>
      <c r="E86" s="8"/>
      <c r="F86" s="8"/>
      <c r="G86" s="8"/>
      <c r="H86" s="8"/>
      <c r="I86" s="8"/>
    </row>
    <row r="87" spans="2:9" hidden="1">
      <c r="B87" s="8"/>
      <c r="C87" s="8"/>
      <c r="D87" s="8"/>
      <c r="E87" s="8"/>
      <c r="F87" s="8"/>
      <c r="G87" s="8"/>
      <c r="H87" s="8"/>
      <c r="I87" s="8"/>
    </row>
    <row r="88" spans="2:9" hidden="1">
      <c r="B88" s="8"/>
      <c r="C88" s="8"/>
      <c r="D88" s="8"/>
      <c r="E88" s="8"/>
      <c r="F88" s="8"/>
      <c r="G88" s="8"/>
      <c r="H88" s="8"/>
      <c r="I88" s="8"/>
    </row>
    <row r="89" spans="2:9" hidden="1">
      <c r="B89" s="8"/>
      <c r="C89" s="8"/>
      <c r="D89" s="8"/>
      <c r="E89" s="8"/>
      <c r="F89" s="8"/>
      <c r="G89" s="8"/>
      <c r="H89" s="8"/>
      <c r="I89" s="8"/>
    </row>
    <row r="90" spans="2:9" hidden="1">
      <c r="B90" s="8"/>
      <c r="C90" s="8"/>
      <c r="D90" s="8"/>
      <c r="E90" s="8"/>
      <c r="F90" s="8"/>
      <c r="G90" s="8"/>
      <c r="H90" s="8"/>
      <c r="I90" s="8"/>
    </row>
    <row r="91" spans="2:9" hidden="1">
      <c r="B91" s="8"/>
      <c r="C91" s="8"/>
      <c r="D91" s="8"/>
      <c r="E91" s="8"/>
      <c r="F91" s="8"/>
      <c r="G91" s="8"/>
      <c r="H91" s="8"/>
      <c r="I91" s="8"/>
    </row>
    <row r="92" spans="2:9" hidden="1">
      <c r="B92" s="8"/>
      <c r="C92" s="8"/>
      <c r="D92" s="8"/>
      <c r="E92" s="8"/>
      <c r="F92" s="8"/>
      <c r="G92" s="8"/>
      <c r="H92" s="8"/>
      <c r="I92" s="8"/>
    </row>
    <row r="93" spans="2:9" hidden="1">
      <c r="B93" s="8"/>
      <c r="C93" s="8"/>
      <c r="D93" s="8"/>
      <c r="E93" s="8"/>
      <c r="F93" s="8"/>
      <c r="G93" s="8"/>
      <c r="H93" s="8"/>
      <c r="I93" s="8"/>
    </row>
    <row r="94" spans="2:9" hidden="1">
      <c r="B94" s="8"/>
      <c r="C94" s="8"/>
      <c r="D94" s="8"/>
      <c r="E94" s="8"/>
      <c r="F94" s="8"/>
      <c r="G94" s="8"/>
      <c r="H94" s="8"/>
      <c r="I94" s="8"/>
    </row>
    <row r="95" spans="2:9" hidden="1">
      <c r="B95" s="8"/>
      <c r="C95" s="8"/>
      <c r="D95" s="8"/>
      <c r="E95" s="8"/>
      <c r="F95" s="8"/>
      <c r="G95" s="8"/>
      <c r="H95" s="8"/>
      <c r="I95" s="8"/>
    </row>
    <row r="96" spans="2:9" hidden="1">
      <c r="B96" s="8"/>
      <c r="C96" s="8"/>
      <c r="D96" s="8"/>
      <c r="E96" s="8"/>
      <c r="F96" s="8"/>
      <c r="G96" s="8"/>
      <c r="H96" s="8"/>
      <c r="I96" s="8"/>
    </row>
    <row r="97" spans="2:9" hidden="1">
      <c r="B97" s="8"/>
      <c r="C97" s="8"/>
      <c r="D97" s="8"/>
      <c r="E97" s="8"/>
      <c r="F97" s="8"/>
      <c r="G97" s="8"/>
      <c r="H97" s="8"/>
      <c r="I97" s="8"/>
    </row>
    <row r="98" spans="2:9" hidden="1">
      <c r="B98" s="8"/>
      <c r="C98" s="8"/>
      <c r="D98" s="8"/>
      <c r="E98" s="8"/>
      <c r="F98" s="8"/>
      <c r="G98" s="8"/>
      <c r="H98" s="8"/>
      <c r="I98" s="8"/>
    </row>
    <row r="99" spans="2:9" hidden="1">
      <c r="B99" s="8"/>
      <c r="C99" s="8"/>
      <c r="D99" s="8"/>
      <c r="E99" s="8"/>
      <c r="F99" s="8"/>
      <c r="G99" s="8"/>
      <c r="H99" s="8"/>
      <c r="I99" s="8"/>
    </row>
    <row r="100" spans="2:9" hidden="1">
      <c r="B100" s="8"/>
      <c r="C100" s="8"/>
      <c r="D100" s="8"/>
      <c r="E100" s="8"/>
      <c r="F100" s="8"/>
      <c r="G100" s="8"/>
      <c r="H100" s="8"/>
      <c r="I100" s="8"/>
    </row>
    <row r="101" spans="2:9" hidden="1">
      <c r="B101" s="8"/>
      <c r="C101" s="8"/>
      <c r="D101" s="8"/>
      <c r="E101" s="8"/>
      <c r="F101" s="8"/>
      <c r="G101" s="8"/>
      <c r="H101" s="8"/>
      <c r="I101" s="8"/>
    </row>
    <row r="102" spans="2:9" hidden="1">
      <c r="B102" s="8"/>
      <c r="C102" s="8"/>
      <c r="D102" s="8"/>
      <c r="E102" s="8"/>
      <c r="F102" s="8"/>
      <c r="G102" s="8"/>
      <c r="H102" s="8"/>
      <c r="I102" s="8"/>
    </row>
    <row r="103" spans="2:9" hidden="1">
      <c r="B103" s="8"/>
      <c r="C103" s="8"/>
      <c r="D103" s="8"/>
      <c r="E103" s="8"/>
      <c r="F103" s="8"/>
      <c r="G103" s="8"/>
      <c r="H103" s="8"/>
      <c r="I103" s="8"/>
    </row>
    <row r="104" spans="2:9" hidden="1">
      <c r="B104" s="8"/>
      <c r="C104" s="8"/>
      <c r="D104" s="8"/>
      <c r="E104" s="8"/>
      <c r="F104" s="8"/>
      <c r="G104" s="8"/>
      <c r="H104" s="8"/>
      <c r="I104" s="8"/>
    </row>
    <row r="105" spans="2:9" hidden="1">
      <c r="B105" s="8"/>
      <c r="C105" s="8"/>
      <c r="D105" s="8"/>
      <c r="E105" s="8"/>
      <c r="F105" s="8"/>
      <c r="G105" s="8"/>
      <c r="H105" s="8"/>
      <c r="I105" s="8"/>
    </row>
    <row r="106" spans="2:9" hidden="1">
      <c r="B106" s="8"/>
      <c r="C106" s="8"/>
      <c r="D106" s="8"/>
      <c r="E106" s="8"/>
      <c r="F106" s="8"/>
      <c r="G106" s="8"/>
      <c r="H106" s="8"/>
      <c r="I106" s="8"/>
    </row>
    <row r="107" spans="2:9" hidden="1">
      <c r="B107" s="8"/>
      <c r="C107" s="8"/>
      <c r="D107" s="8"/>
      <c r="E107" s="8"/>
      <c r="F107" s="8"/>
      <c r="G107" s="8"/>
      <c r="H107" s="8"/>
      <c r="I107" s="8"/>
    </row>
    <row r="108" spans="2:9" hidden="1">
      <c r="B108" s="8"/>
      <c r="C108" s="8"/>
      <c r="D108" s="8"/>
      <c r="E108" s="8"/>
      <c r="F108" s="8"/>
      <c r="G108" s="8"/>
      <c r="H108" s="8"/>
      <c r="I108" s="8"/>
    </row>
    <row r="109" spans="2:9" hidden="1">
      <c r="B109" s="8"/>
      <c r="C109" s="8"/>
      <c r="D109" s="8"/>
      <c r="E109" s="8"/>
      <c r="F109" s="8"/>
      <c r="G109" s="8"/>
      <c r="H109" s="8"/>
      <c r="I109" s="8"/>
    </row>
    <row r="110" spans="2:9" hidden="1">
      <c r="B110" s="8"/>
      <c r="C110" s="8"/>
      <c r="D110" s="8"/>
      <c r="E110" s="8"/>
      <c r="F110" s="8"/>
      <c r="G110" s="8"/>
      <c r="H110" s="8"/>
      <c r="I110" s="8"/>
    </row>
    <row r="111" spans="2:9" hidden="1">
      <c r="B111" s="8"/>
      <c r="C111" s="8"/>
      <c r="D111" s="8"/>
      <c r="E111" s="8"/>
      <c r="F111" s="8"/>
      <c r="G111" s="8"/>
      <c r="H111" s="8"/>
      <c r="I111" s="8"/>
    </row>
    <row r="112" spans="2:9" hidden="1">
      <c r="B112" s="8"/>
      <c r="C112" s="8"/>
      <c r="D112" s="8"/>
      <c r="E112" s="8"/>
      <c r="F112" s="8"/>
      <c r="G112" s="8"/>
      <c r="H112" s="8"/>
      <c r="I112" s="8"/>
    </row>
    <row r="113" spans="2:9" hidden="1">
      <c r="B113" s="8"/>
      <c r="C113" s="8"/>
      <c r="D113" s="8"/>
      <c r="E113" s="8"/>
      <c r="F113" s="8"/>
      <c r="G113" s="8"/>
      <c r="H113" s="8"/>
      <c r="I113" s="8"/>
    </row>
    <row r="114" spans="2:9" hidden="1">
      <c r="B114" s="8"/>
      <c r="C114" s="8"/>
      <c r="D114" s="8"/>
      <c r="E114" s="8"/>
      <c r="F114" s="8"/>
      <c r="G114" s="8"/>
      <c r="H114" s="8"/>
      <c r="I114" s="8"/>
    </row>
    <row r="115" spans="2:9" hidden="1">
      <c r="B115" s="8"/>
      <c r="C115" s="8"/>
      <c r="D115" s="8"/>
      <c r="E115" s="8"/>
      <c r="F115" s="8"/>
      <c r="G115" s="8"/>
      <c r="H115" s="8"/>
      <c r="I115" s="8"/>
    </row>
    <row r="116" spans="2:9" hidden="1">
      <c r="B116" s="8"/>
      <c r="C116" s="8"/>
      <c r="D116" s="8"/>
      <c r="E116" s="8"/>
      <c r="F116" s="8"/>
      <c r="G116" s="8"/>
      <c r="H116" s="8"/>
      <c r="I116" s="8"/>
    </row>
    <row r="117" spans="2:9" hidden="1">
      <c r="B117" s="8"/>
      <c r="C117" s="8"/>
      <c r="D117" s="8"/>
      <c r="E117" s="8"/>
      <c r="F117" s="8"/>
      <c r="G117" s="8"/>
      <c r="H117" s="8"/>
      <c r="I117" s="8"/>
    </row>
    <row r="118" spans="2:9" hidden="1">
      <c r="B118" s="8"/>
      <c r="C118" s="8"/>
      <c r="D118" s="8"/>
      <c r="E118" s="8"/>
      <c r="F118" s="8"/>
      <c r="G118" s="8"/>
      <c r="H118" s="8"/>
      <c r="I118" s="8"/>
    </row>
    <row r="119" spans="2:9" hidden="1">
      <c r="B119" s="8"/>
      <c r="C119" s="8"/>
      <c r="D119" s="8"/>
      <c r="E119" s="8"/>
      <c r="F119" s="8"/>
      <c r="G119" s="8"/>
      <c r="H119" s="8"/>
      <c r="I119" s="8"/>
    </row>
    <row r="120" spans="2:9" hidden="1">
      <c r="B120" s="8"/>
      <c r="C120" s="8"/>
      <c r="D120" s="8"/>
      <c r="E120" s="8"/>
      <c r="F120" s="8"/>
      <c r="G120" s="8"/>
      <c r="H120" s="8"/>
      <c r="I120" s="8"/>
    </row>
    <row r="121" spans="2:9" hidden="1">
      <c r="B121" s="8"/>
      <c r="C121" s="8"/>
      <c r="D121" s="8"/>
      <c r="E121" s="8"/>
      <c r="F121" s="8"/>
      <c r="G121" s="8"/>
      <c r="H121" s="8"/>
      <c r="I121" s="8"/>
    </row>
    <row r="122" spans="2:9" hidden="1">
      <c r="B122" s="8"/>
      <c r="C122" s="8"/>
      <c r="D122" s="8"/>
      <c r="E122" s="8"/>
      <c r="F122" s="8"/>
      <c r="G122" s="8"/>
      <c r="H122" s="8"/>
      <c r="I122" s="8"/>
    </row>
    <row r="123" spans="2:9" hidden="1">
      <c r="B123" s="8"/>
      <c r="C123" s="8"/>
      <c r="D123" s="8"/>
      <c r="E123" s="8"/>
      <c r="F123" s="8"/>
      <c r="G123" s="8"/>
      <c r="H123" s="8"/>
      <c r="I123" s="8"/>
    </row>
    <row r="124" spans="2:9" hidden="1">
      <c r="B124" s="8"/>
      <c r="C124" s="8"/>
      <c r="D124" s="8"/>
      <c r="E124" s="8"/>
      <c r="F124" s="8"/>
      <c r="G124" s="8"/>
      <c r="H124" s="8"/>
      <c r="I124" s="8"/>
    </row>
    <row r="125" spans="2:9" hidden="1">
      <c r="B125" s="8"/>
      <c r="C125" s="8"/>
      <c r="D125" s="8"/>
      <c r="E125" s="8"/>
      <c r="F125" s="8"/>
      <c r="G125" s="8"/>
      <c r="H125" s="8"/>
      <c r="I125" s="8"/>
    </row>
    <row r="126" spans="2:9" hidden="1">
      <c r="B126" s="8"/>
      <c r="C126" s="8"/>
      <c r="D126" s="8"/>
      <c r="E126" s="8"/>
      <c r="F126" s="8"/>
      <c r="G126" s="8"/>
      <c r="H126" s="8"/>
      <c r="I126" s="8"/>
    </row>
    <row r="127" spans="2:9" hidden="1">
      <c r="B127" s="8"/>
      <c r="C127" s="8"/>
      <c r="D127" s="8"/>
      <c r="E127" s="8"/>
      <c r="F127" s="8"/>
      <c r="G127" s="8"/>
      <c r="H127" s="8"/>
      <c r="I127" s="8"/>
    </row>
    <row r="128" spans="2:9" hidden="1">
      <c r="B128" s="8"/>
      <c r="C128" s="8"/>
      <c r="D128" s="8"/>
      <c r="E128" s="8"/>
      <c r="F128" s="8"/>
      <c r="G128" s="8"/>
      <c r="H128" s="8"/>
      <c r="I128" s="8"/>
    </row>
    <row r="129" spans="2:9" hidden="1">
      <c r="B129" s="8"/>
      <c r="C129" s="8"/>
      <c r="D129" s="8"/>
      <c r="E129" s="8"/>
      <c r="F129" s="8"/>
      <c r="G129" s="8"/>
      <c r="H129" s="8"/>
      <c r="I129" s="8"/>
    </row>
    <row r="130" spans="2:9" hidden="1">
      <c r="B130" s="8"/>
      <c r="C130" s="8"/>
      <c r="D130" s="8"/>
      <c r="E130" s="8"/>
      <c r="F130" s="8"/>
      <c r="G130" s="8"/>
      <c r="H130" s="8"/>
      <c r="I130" s="8"/>
    </row>
    <row r="131" spans="2:9" hidden="1">
      <c r="B131" s="8"/>
      <c r="C131" s="8"/>
      <c r="D131" s="8"/>
      <c r="E131" s="8"/>
      <c r="F131" s="8"/>
      <c r="G131" s="8"/>
      <c r="H131" s="8"/>
      <c r="I131" s="8"/>
    </row>
    <row r="132" spans="2:9" hidden="1">
      <c r="B132" s="8"/>
      <c r="C132" s="8"/>
      <c r="D132" s="8"/>
      <c r="E132" s="8"/>
      <c r="F132" s="8"/>
      <c r="G132" s="8"/>
      <c r="H132" s="8"/>
      <c r="I132" s="8"/>
    </row>
    <row r="133" spans="2:9" hidden="1">
      <c r="B133" s="8"/>
      <c r="C133" s="8"/>
      <c r="D133" s="8"/>
      <c r="E133" s="8"/>
      <c r="F133" s="8"/>
      <c r="G133" s="8"/>
      <c r="H133" s="8"/>
      <c r="I133" s="8"/>
    </row>
    <row r="134" spans="2:9" hidden="1">
      <c r="B134" s="8"/>
      <c r="C134" s="8"/>
      <c r="D134" s="8"/>
      <c r="E134" s="8"/>
      <c r="F134" s="8"/>
      <c r="G134" s="8"/>
      <c r="H134" s="8"/>
      <c r="I134" s="8"/>
    </row>
    <row r="135" spans="2:9" hidden="1">
      <c r="B135" s="8"/>
      <c r="C135" s="8"/>
      <c r="D135" s="8"/>
      <c r="E135" s="8"/>
      <c r="F135" s="8"/>
      <c r="G135" s="8"/>
      <c r="H135" s="8"/>
      <c r="I135" s="8"/>
    </row>
    <row r="136" spans="2:9" hidden="1">
      <c r="B136" s="8"/>
      <c r="C136" s="8"/>
      <c r="D136" s="8"/>
      <c r="E136" s="8"/>
      <c r="F136" s="8"/>
      <c r="G136" s="8"/>
      <c r="H136" s="8"/>
      <c r="I136" s="8"/>
    </row>
    <row r="137" spans="2:9" hidden="1">
      <c r="B137" s="8"/>
      <c r="C137" s="8"/>
      <c r="D137" s="8"/>
      <c r="E137" s="8"/>
      <c r="F137" s="8"/>
      <c r="G137" s="8"/>
      <c r="H137" s="8"/>
      <c r="I137" s="8"/>
    </row>
    <row r="138" spans="2:9" hidden="1">
      <c r="B138" s="8"/>
      <c r="C138" s="8"/>
      <c r="D138" s="8"/>
      <c r="E138" s="8"/>
      <c r="F138" s="8"/>
      <c r="G138" s="8"/>
      <c r="H138" s="8"/>
      <c r="I138" s="8"/>
    </row>
    <row r="139" spans="2:9" hidden="1">
      <c r="B139" s="8"/>
      <c r="C139" s="8"/>
      <c r="D139" s="8"/>
      <c r="E139" s="8"/>
      <c r="F139" s="8"/>
      <c r="G139" s="8"/>
      <c r="H139" s="8"/>
      <c r="I139" s="8"/>
    </row>
    <row r="140" spans="2:9" hidden="1">
      <c r="B140" s="8"/>
      <c r="C140" s="8"/>
      <c r="D140" s="8"/>
      <c r="E140" s="8"/>
      <c r="F140" s="8"/>
      <c r="G140" s="8"/>
      <c r="H140" s="8"/>
      <c r="I140" s="8"/>
    </row>
    <row r="141" spans="2:9" hidden="1">
      <c r="B141" s="8"/>
      <c r="C141" s="8"/>
      <c r="D141" s="8"/>
      <c r="E141" s="8"/>
      <c r="F141" s="8"/>
      <c r="G141" s="8"/>
      <c r="H141" s="8"/>
      <c r="I141" s="8"/>
    </row>
    <row r="142" spans="2:9" hidden="1">
      <c r="B142" s="8"/>
      <c r="C142" s="8"/>
      <c r="D142" s="8"/>
      <c r="E142" s="8"/>
      <c r="F142" s="8"/>
      <c r="G142" s="8"/>
      <c r="H142" s="8"/>
      <c r="I142" s="8"/>
    </row>
    <row r="143" spans="2:9" hidden="1">
      <c r="B143" s="8"/>
      <c r="C143" s="8"/>
      <c r="D143" s="8"/>
      <c r="E143" s="8"/>
      <c r="F143" s="8"/>
      <c r="G143" s="8"/>
      <c r="H143" s="8"/>
      <c r="I143" s="8"/>
    </row>
    <row r="144" spans="2:9" hidden="1">
      <c r="B144" s="8"/>
      <c r="C144" s="8"/>
      <c r="D144" s="8"/>
      <c r="E144" s="8"/>
      <c r="F144" s="8"/>
      <c r="G144" s="8"/>
      <c r="H144" s="8"/>
      <c r="I144" s="8"/>
    </row>
    <row r="145" spans="2:9" hidden="1">
      <c r="B145" s="8"/>
      <c r="C145" s="8"/>
      <c r="D145" s="8"/>
      <c r="E145" s="8"/>
      <c r="F145" s="8"/>
      <c r="G145" s="8"/>
      <c r="H145" s="8"/>
      <c r="I145" s="8"/>
    </row>
    <row r="146" spans="2:9" hidden="1">
      <c r="B146" s="8"/>
      <c r="C146" s="8"/>
      <c r="D146" s="8"/>
      <c r="E146" s="8"/>
      <c r="F146" s="8"/>
      <c r="G146" s="8"/>
      <c r="H146" s="8"/>
      <c r="I146" s="8"/>
    </row>
    <row r="147" spans="2:9" hidden="1">
      <c r="B147" s="8"/>
      <c r="C147" s="8"/>
      <c r="D147" s="8"/>
      <c r="E147" s="8"/>
      <c r="F147" s="8"/>
      <c r="G147" s="8"/>
      <c r="H147" s="8"/>
      <c r="I147" s="8"/>
    </row>
    <row r="148" spans="2:9" hidden="1">
      <c r="B148" s="8"/>
      <c r="C148" s="8"/>
      <c r="D148" s="8"/>
      <c r="E148" s="8"/>
      <c r="F148" s="8"/>
      <c r="G148" s="8"/>
      <c r="H148" s="8"/>
      <c r="I148" s="8"/>
    </row>
    <row r="149" spans="2:9" hidden="1">
      <c r="B149" s="8"/>
      <c r="C149" s="8"/>
      <c r="D149" s="8"/>
      <c r="E149" s="8"/>
      <c r="F149" s="8"/>
      <c r="G149" s="8"/>
      <c r="H149" s="8"/>
      <c r="I149" s="8"/>
    </row>
    <row r="150" spans="2:9" hidden="1">
      <c r="B150" s="8"/>
      <c r="C150" s="8"/>
      <c r="D150" s="8"/>
      <c r="E150" s="8"/>
      <c r="F150" s="8"/>
      <c r="G150" s="8"/>
      <c r="H150" s="8"/>
      <c r="I150" s="8"/>
    </row>
    <row r="151" spans="2:9" hidden="1">
      <c r="B151" s="8"/>
      <c r="C151" s="8"/>
      <c r="D151" s="8"/>
      <c r="E151" s="8"/>
      <c r="F151" s="8"/>
      <c r="G151" s="8"/>
      <c r="H151" s="8"/>
      <c r="I151" s="8"/>
    </row>
    <row r="152" spans="2:9" hidden="1">
      <c r="B152" s="8"/>
      <c r="C152" s="8"/>
      <c r="D152" s="8"/>
      <c r="E152" s="8"/>
      <c r="F152" s="8"/>
      <c r="G152" s="8"/>
      <c r="H152" s="8"/>
      <c r="I152" s="8"/>
    </row>
    <row r="153" spans="2:9" hidden="1">
      <c r="B153" s="8"/>
      <c r="C153" s="8"/>
      <c r="D153" s="8"/>
      <c r="E153" s="8"/>
      <c r="F153" s="8"/>
      <c r="G153" s="8"/>
      <c r="H153" s="8"/>
      <c r="I153" s="8"/>
    </row>
    <row r="154" spans="2:9" hidden="1">
      <c r="B154" s="8"/>
      <c r="C154" s="8"/>
      <c r="D154" s="8"/>
      <c r="E154" s="8"/>
      <c r="F154" s="8"/>
      <c r="G154" s="8"/>
      <c r="H154" s="8"/>
      <c r="I154" s="8"/>
    </row>
    <row r="155" spans="2:9" hidden="1">
      <c r="B155" s="8"/>
      <c r="C155" s="8"/>
      <c r="D155" s="8"/>
      <c r="E155" s="8"/>
      <c r="F155" s="8"/>
      <c r="G155" s="8"/>
      <c r="H155" s="8"/>
      <c r="I155" s="8"/>
    </row>
    <row r="156" spans="2:9" hidden="1">
      <c r="B156" s="8"/>
      <c r="C156" s="8"/>
      <c r="D156" s="8"/>
      <c r="E156" s="8"/>
      <c r="F156" s="8"/>
      <c r="G156" s="8"/>
      <c r="H156" s="8"/>
      <c r="I156" s="8"/>
    </row>
    <row r="157" spans="2:9" hidden="1">
      <c r="B157" s="8"/>
      <c r="C157" s="8"/>
      <c r="D157" s="8"/>
      <c r="E157" s="8"/>
      <c r="F157" s="8"/>
      <c r="G157" s="8"/>
      <c r="H157" s="8"/>
      <c r="I157" s="8"/>
    </row>
    <row r="158" spans="2:9" hidden="1">
      <c r="B158" s="8"/>
      <c r="C158" s="8"/>
      <c r="D158" s="8"/>
      <c r="E158" s="8"/>
      <c r="F158" s="8"/>
      <c r="G158" s="8"/>
      <c r="H158" s="8"/>
      <c r="I158" s="8"/>
    </row>
    <row r="159" spans="2:9" hidden="1">
      <c r="B159" s="8"/>
      <c r="C159" s="8"/>
      <c r="D159" s="8"/>
      <c r="E159" s="8"/>
      <c r="F159" s="8"/>
      <c r="G159" s="8"/>
      <c r="H159" s="8"/>
      <c r="I159" s="8"/>
    </row>
    <row r="160" spans="2:9" hidden="1">
      <c r="B160" s="8"/>
      <c r="C160" s="8"/>
      <c r="D160" s="8"/>
      <c r="E160" s="8"/>
      <c r="F160" s="8"/>
      <c r="G160" s="8"/>
      <c r="H160" s="8"/>
      <c r="I160" s="8"/>
    </row>
    <row r="161" spans="2:9" hidden="1">
      <c r="B161" s="8"/>
      <c r="C161" s="8"/>
      <c r="D161" s="8"/>
      <c r="E161" s="8"/>
      <c r="F161" s="8"/>
      <c r="G161" s="8"/>
      <c r="H161" s="8"/>
      <c r="I161" s="8"/>
    </row>
    <row r="162" spans="2:9" hidden="1">
      <c r="B162" s="8"/>
      <c r="C162" s="8"/>
      <c r="D162" s="8"/>
      <c r="E162" s="8"/>
      <c r="F162" s="8"/>
      <c r="G162" s="8"/>
      <c r="H162" s="8"/>
      <c r="I162" s="8"/>
    </row>
    <row r="163" spans="2:9" hidden="1">
      <c r="B163" s="8"/>
      <c r="C163" s="8"/>
      <c r="D163" s="8"/>
      <c r="E163" s="8"/>
      <c r="F163" s="8"/>
      <c r="G163" s="8"/>
      <c r="H163" s="8"/>
      <c r="I163" s="8"/>
    </row>
    <row r="164" spans="2:9" hidden="1">
      <c r="B164" s="8"/>
      <c r="C164" s="8"/>
      <c r="D164" s="8"/>
      <c r="E164" s="8"/>
      <c r="F164" s="8"/>
      <c r="G164" s="8"/>
      <c r="H164" s="8"/>
      <c r="I164" s="8"/>
    </row>
    <row r="165" spans="2:9" hidden="1">
      <c r="B165" s="8"/>
      <c r="C165" s="8"/>
      <c r="D165" s="8"/>
      <c r="E165" s="8"/>
      <c r="F165" s="8"/>
      <c r="G165" s="8"/>
      <c r="H165" s="8"/>
      <c r="I165" s="8"/>
    </row>
    <row r="166" spans="2:9" hidden="1">
      <c r="B166" s="8"/>
      <c r="C166" s="8"/>
      <c r="D166" s="8"/>
      <c r="E166" s="8"/>
      <c r="F166" s="8"/>
      <c r="G166" s="8"/>
      <c r="H166" s="8"/>
      <c r="I166" s="8"/>
    </row>
    <row r="167" spans="2:9" hidden="1">
      <c r="B167" s="8"/>
      <c r="C167" s="8"/>
      <c r="D167" s="8"/>
      <c r="E167" s="8"/>
      <c r="F167" s="8"/>
      <c r="G167" s="8"/>
      <c r="H167" s="8"/>
      <c r="I167" s="8"/>
    </row>
    <row r="168" spans="2:9" hidden="1">
      <c r="B168" s="8"/>
      <c r="C168" s="8"/>
      <c r="D168" s="8"/>
      <c r="E168" s="8"/>
      <c r="F168" s="8"/>
      <c r="G168" s="8"/>
      <c r="H168" s="8"/>
      <c r="I168" s="8"/>
    </row>
    <row r="169" spans="2:9" hidden="1">
      <c r="B169" s="8"/>
      <c r="C169" s="8"/>
      <c r="D169" s="8"/>
      <c r="E169" s="8"/>
      <c r="F169" s="8"/>
      <c r="G169" s="8"/>
      <c r="H169" s="8"/>
      <c r="I169" s="8"/>
    </row>
    <row r="170" spans="2:9" hidden="1">
      <c r="B170" s="8"/>
      <c r="C170" s="8"/>
      <c r="D170" s="8"/>
      <c r="E170" s="8"/>
      <c r="F170" s="8"/>
      <c r="G170" s="8"/>
      <c r="H170" s="8"/>
      <c r="I170" s="8"/>
    </row>
    <row r="171" spans="2:9" hidden="1">
      <c r="B171" s="8"/>
      <c r="C171" s="8"/>
      <c r="D171" s="8"/>
      <c r="E171" s="8"/>
      <c r="F171" s="8"/>
      <c r="G171" s="8"/>
      <c r="H171" s="8"/>
      <c r="I171" s="8"/>
    </row>
    <row r="172" spans="2:9" hidden="1">
      <c r="B172" s="8"/>
      <c r="C172" s="8"/>
      <c r="D172" s="8"/>
      <c r="E172" s="8"/>
      <c r="F172" s="8"/>
      <c r="G172" s="8"/>
      <c r="H172" s="8"/>
      <c r="I172" s="8"/>
    </row>
    <row r="173" spans="2:9" hidden="1">
      <c r="B173" s="8"/>
      <c r="C173" s="8"/>
      <c r="D173" s="8"/>
      <c r="E173" s="8"/>
      <c r="F173" s="8"/>
      <c r="G173" s="8"/>
      <c r="H173" s="8"/>
      <c r="I173" s="8"/>
    </row>
    <row r="174" spans="2:9" hidden="1">
      <c r="B174" s="8"/>
      <c r="C174" s="8"/>
      <c r="D174" s="8"/>
      <c r="E174" s="8"/>
      <c r="F174" s="8"/>
      <c r="G174" s="8"/>
      <c r="H174" s="8"/>
      <c r="I174" s="8"/>
    </row>
    <row r="175" spans="2:9" hidden="1">
      <c r="B175" s="8"/>
      <c r="C175" s="8"/>
      <c r="D175" s="8"/>
      <c r="E175" s="8"/>
      <c r="F175" s="8"/>
      <c r="G175" s="8"/>
      <c r="H175" s="8"/>
      <c r="I175" s="8"/>
    </row>
    <row r="176" spans="2:9" hidden="1">
      <c r="B176" s="8"/>
      <c r="C176" s="8"/>
      <c r="D176" s="8"/>
      <c r="E176" s="8"/>
      <c r="F176" s="8"/>
      <c r="G176" s="8"/>
      <c r="H176" s="8"/>
      <c r="I176" s="8"/>
    </row>
    <row r="177" spans="2:9" hidden="1">
      <c r="B177" s="8"/>
      <c r="C177" s="8"/>
      <c r="D177" s="8"/>
      <c r="E177" s="8"/>
      <c r="F177" s="8"/>
      <c r="G177" s="8"/>
      <c r="H177" s="8"/>
      <c r="I177" s="8"/>
    </row>
    <row r="178" spans="2:9" hidden="1">
      <c r="B178" s="8"/>
      <c r="C178" s="8"/>
      <c r="D178" s="8"/>
      <c r="E178" s="8"/>
      <c r="F178" s="8"/>
      <c r="G178" s="8"/>
      <c r="H178" s="8"/>
      <c r="I178" s="8"/>
    </row>
    <row r="179" spans="2:9" hidden="1">
      <c r="B179" s="8"/>
      <c r="C179" s="8"/>
      <c r="D179" s="8"/>
      <c r="E179" s="8"/>
      <c r="F179" s="8"/>
      <c r="G179" s="8"/>
      <c r="H179" s="8"/>
      <c r="I179" s="8"/>
    </row>
    <row r="180" spans="2:9" hidden="1">
      <c r="B180" s="8"/>
      <c r="C180" s="8"/>
      <c r="D180" s="8"/>
      <c r="E180" s="8"/>
      <c r="F180" s="8"/>
      <c r="G180" s="8"/>
      <c r="H180" s="8"/>
      <c r="I180" s="8"/>
    </row>
    <row r="181" spans="2:9" hidden="1">
      <c r="B181" s="8"/>
      <c r="C181" s="8"/>
      <c r="D181" s="8"/>
      <c r="E181" s="8"/>
      <c r="F181" s="8"/>
      <c r="G181" s="8"/>
      <c r="H181" s="8"/>
      <c r="I181" s="8"/>
    </row>
    <row r="182" spans="2:9" hidden="1">
      <c r="B182" s="8"/>
      <c r="C182" s="8"/>
      <c r="D182" s="8"/>
      <c r="E182" s="8"/>
      <c r="F182" s="8"/>
      <c r="G182" s="8"/>
      <c r="H182" s="8"/>
      <c r="I182" s="8"/>
    </row>
    <row r="183" spans="2:9" hidden="1">
      <c r="B183" s="8"/>
      <c r="C183" s="8"/>
      <c r="D183" s="8"/>
      <c r="E183" s="8"/>
      <c r="F183" s="8"/>
      <c r="G183" s="8"/>
      <c r="H183" s="8"/>
      <c r="I183" s="8"/>
    </row>
    <row r="184" spans="2:9" hidden="1">
      <c r="B184" s="8"/>
      <c r="C184" s="8"/>
      <c r="D184" s="8"/>
      <c r="E184" s="8"/>
      <c r="F184" s="8"/>
      <c r="G184" s="8"/>
      <c r="H184" s="8"/>
      <c r="I184" s="8"/>
    </row>
    <row r="185" spans="2:9" hidden="1">
      <c r="B185" s="8"/>
      <c r="C185" s="8"/>
      <c r="D185" s="8"/>
      <c r="E185" s="8"/>
      <c r="F185" s="8"/>
      <c r="G185" s="8"/>
      <c r="H185" s="8"/>
      <c r="I185" s="8"/>
    </row>
    <row r="186" spans="2:9" hidden="1">
      <c r="B186" s="8"/>
      <c r="C186" s="8"/>
      <c r="D186" s="8"/>
      <c r="E186" s="8"/>
      <c r="F186" s="8"/>
      <c r="G186" s="8"/>
      <c r="H186" s="8"/>
      <c r="I186" s="8"/>
    </row>
    <row r="187" spans="2:9" hidden="1">
      <c r="B187" s="8"/>
      <c r="C187" s="8"/>
      <c r="D187" s="8"/>
      <c r="E187" s="8"/>
      <c r="F187" s="8"/>
      <c r="G187" s="8"/>
      <c r="H187" s="8"/>
      <c r="I187" s="8"/>
    </row>
    <row r="188" spans="2:9" hidden="1">
      <c r="B188" s="8"/>
      <c r="C188" s="8"/>
      <c r="D188" s="8"/>
      <c r="E188" s="8"/>
      <c r="F188" s="8"/>
      <c r="G188" s="8"/>
      <c r="H188" s="8"/>
      <c r="I188" s="8"/>
    </row>
    <row r="189" spans="2:9" hidden="1">
      <c r="B189" s="8"/>
      <c r="C189" s="8"/>
      <c r="D189" s="8"/>
      <c r="E189" s="8"/>
      <c r="F189" s="8"/>
      <c r="G189" s="8"/>
      <c r="H189" s="8"/>
      <c r="I189" s="8"/>
    </row>
    <row r="190" spans="2:9" hidden="1">
      <c r="B190" s="8"/>
      <c r="C190" s="8"/>
      <c r="D190" s="8"/>
      <c r="E190" s="8"/>
      <c r="F190" s="8"/>
      <c r="G190" s="8"/>
      <c r="H190" s="8"/>
      <c r="I190" s="8"/>
    </row>
    <row r="191" spans="2:9" hidden="1">
      <c r="B191" s="8"/>
      <c r="C191" s="8"/>
      <c r="D191" s="8"/>
      <c r="E191" s="8"/>
      <c r="F191" s="8"/>
      <c r="G191" s="8"/>
      <c r="H191" s="8"/>
      <c r="I191" s="8"/>
    </row>
    <row r="192" spans="2:9" hidden="1">
      <c r="B192" s="8"/>
      <c r="C192" s="8"/>
      <c r="D192" s="8"/>
      <c r="E192" s="8"/>
      <c r="F192" s="8"/>
      <c r="G192" s="8"/>
      <c r="H192" s="8"/>
      <c r="I192" s="8"/>
    </row>
    <row r="193" spans="2:9" hidden="1">
      <c r="B193" s="8"/>
      <c r="C193" s="8"/>
      <c r="D193" s="8"/>
      <c r="E193" s="8"/>
      <c r="F193" s="8"/>
      <c r="G193" s="8"/>
      <c r="H193" s="8"/>
      <c r="I193" s="8"/>
    </row>
    <row r="194" spans="2:9" hidden="1">
      <c r="B194" s="8"/>
      <c r="C194" s="8"/>
      <c r="D194" s="8"/>
      <c r="E194" s="8"/>
      <c r="F194" s="8"/>
      <c r="G194" s="8"/>
      <c r="H194" s="8"/>
      <c r="I194" s="8"/>
    </row>
    <row r="195" spans="2:9" hidden="1">
      <c r="B195" s="8"/>
      <c r="C195" s="8"/>
      <c r="D195" s="8"/>
      <c r="E195" s="8"/>
      <c r="F195" s="8"/>
      <c r="G195" s="8"/>
      <c r="H195" s="8"/>
      <c r="I195" s="8"/>
    </row>
    <row r="196" spans="2:9" hidden="1">
      <c r="B196" s="8"/>
      <c r="C196" s="8"/>
      <c r="D196" s="8"/>
      <c r="E196" s="8"/>
      <c r="F196" s="8"/>
      <c r="G196" s="8"/>
      <c r="H196" s="8"/>
      <c r="I196" s="8"/>
    </row>
    <row r="197" spans="2:9" hidden="1">
      <c r="B197" s="8"/>
      <c r="C197" s="8"/>
      <c r="D197" s="8"/>
      <c r="E197" s="8"/>
      <c r="F197" s="8"/>
      <c r="G197" s="8"/>
      <c r="H197" s="8"/>
      <c r="I197" s="8"/>
    </row>
    <row r="198" spans="2:9" hidden="1">
      <c r="B198" s="8"/>
      <c r="C198" s="8"/>
      <c r="D198" s="8"/>
      <c r="E198" s="8"/>
      <c r="F198" s="8"/>
      <c r="G198" s="8"/>
      <c r="H198" s="8"/>
      <c r="I198" s="8"/>
    </row>
    <row r="199" spans="2:9" hidden="1">
      <c r="B199" s="8"/>
      <c r="C199" s="8"/>
      <c r="D199" s="8"/>
      <c r="E199" s="8"/>
      <c r="F199" s="8"/>
      <c r="G199" s="8"/>
      <c r="H199" s="8"/>
      <c r="I199" s="8"/>
    </row>
    <row r="200" spans="2:9" hidden="1">
      <c r="B200" s="8"/>
      <c r="C200" s="8"/>
      <c r="D200" s="8"/>
      <c r="E200" s="8"/>
      <c r="F200" s="8"/>
      <c r="G200" s="8"/>
      <c r="H200" s="8"/>
      <c r="I200" s="8"/>
    </row>
    <row r="201" spans="2:9" hidden="1">
      <c r="B201" s="8"/>
      <c r="C201" s="8"/>
      <c r="D201" s="8"/>
      <c r="E201" s="8"/>
      <c r="F201" s="8"/>
      <c r="G201" s="8"/>
      <c r="H201" s="8"/>
      <c r="I201" s="8"/>
    </row>
    <row r="202" spans="2:9" hidden="1">
      <c r="B202" s="8"/>
      <c r="C202" s="8"/>
      <c r="D202" s="8"/>
      <c r="E202" s="8"/>
      <c r="F202" s="8"/>
      <c r="G202" s="8"/>
      <c r="H202" s="8"/>
      <c r="I202" s="8"/>
    </row>
    <row r="203" spans="2:9" hidden="1">
      <c r="B203" s="8"/>
      <c r="C203" s="8"/>
      <c r="D203" s="8"/>
      <c r="E203" s="8"/>
      <c r="F203" s="8"/>
      <c r="G203" s="8"/>
      <c r="H203" s="8"/>
      <c r="I203" s="8"/>
    </row>
    <row r="204" spans="2:9" hidden="1">
      <c r="B204" s="8"/>
      <c r="C204" s="8"/>
      <c r="D204" s="8"/>
      <c r="E204" s="8"/>
      <c r="F204" s="8"/>
      <c r="G204" s="8"/>
      <c r="H204" s="8"/>
      <c r="I204" s="8"/>
    </row>
    <row r="205" spans="2:9" hidden="1">
      <c r="B205" s="8"/>
      <c r="C205" s="8"/>
      <c r="D205" s="8"/>
      <c r="E205" s="8"/>
      <c r="F205" s="8"/>
      <c r="G205" s="8"/>
      <c r="H205" s="8"/>
      <c r="I205" s="8"/>
    </row>
    <row r="206" spans="2:9" hidden="1">
      <c r="B206" s="8"/>
      <c r="C206" s="8"/>
      <c r="D206" s="8"/>
      <c r="E206" s="8"/>
      <c r="F206" s="8"/>
      <c r="G206" s="8"/>
      <c r="H206" s="8"/>
      <c r="I206" s="8"/>
    </row>
    <row r="207" spans="2:9" hidden="1">
      <c r="B207" s="8"/>
      <c r="C207" s="8"/>
      <c r="D207" s="8"/>
      <c r="E207" s="8"/>
      <c r="F207" s="8"/>
      <c r="G207" s="8"/>
      <c r="H207" s="8"/>
      <c r="I207" s="8"/>
    </row>
    <row r="208" spans="2:9" hidden="1">
      <c r="B208" s="8"/>
      <c r="C208" s="8"/>
      <c r="D208" s="8"/>
      <c r="E208" s="8"/>
      <c r="F208" s="8"/>
      <c r="G208" s="8"/>
      <c r="H208" s="8"/>
      <c r="I208" s="8"/>
    </row>
    <row r="209" spans="2:9" hidden="1">
      <c r="B209" s="8"/>
      <c r="C209" s="8"/>
      <c r="D209" s="8"/>
      <c r="E209" s="8"/>
      <c r="F209" s="8"/>
      <c r="G209" s="8"/>
      <c r="H209" s="8"/>
      <c r="I209" s="8"/>
    </row>
    <row r="210" spans="2:9" hidden="1">
      <c r="B210" s="8"/>
      <c r="C210" s="8"/>
      <c r="D210" s="8"/>
      <c r="E210" s="8"/>
      <c r="F210" s="8"/>
      <c r="G210" s="8"/>
      <c r="H210" s="8"/>
      <c r="I210" s="8"/>
    </row>
    <row r="211" spans="2:9" hidden="1">
      <c r="B211" s="8"/>
      <c r="C211" s="8"/>
      <c r="D211" s="8"/>
      <c r="E211" s="8"/>
      <c r="F211" s="8"/>
      <c r="G211" s="8"/>
      <c r="H211" s="8"/>
      <c r="I211" s="8"/>
    </row>
    <row r="212" spans="2:9" hidden="1">
      <c r="B212" s="8"/>
      <c r="C212" s="8"/>
      <c r="D212" s="8"/>
      <c r="E212" s="8"/>
      <c r="F212" s="8"/>
      <c r="G212" s="8"/>
      <c r="H212" s="8"/>
      <c r="I212" s="8"/>
    </row>
    <row r="213" spans="2:9" hidden="1">
      <c r="B213" s="8"/>
      <c r="C213" s="8"/>
      <c r="D213" s="8"/>
      <c r="E213" s="8"/>
      <c r="F213" s="8"/>
      <c r="G213" s="8"/>
      <c r="H213" s="8"/>
      <c r="I213" s="8"/>
    </row>
    <row r="214" spans="2:9" hidden="1">
      <c r="B214" s="8"/>
      <c r="C214" s="8"/>
      <c r="D214" s="8"/>
      <c r="E214" s="8"/>
      <c r="F214" s="8"/>
      <c r="G214" s="8"/>
      <c r="H214" s="8"/>
      <c r="I214" s="8"/>
    </row>
    <row r="215" spans="2:9" hidden="1">
      <c r="B215" s="8"/>
      <c r="C215" s="8"/>
      <c r="D215" s="8"/>
      <c r="E215" s="8"/>
      <c r="F215" s="8"/>
      <c r="G215" s="8"/>
      <c r="H215" s="8"/>
      <c r="I215" s="8"/>
    </row>
    <row r="216" spans="2:9" hidden="1">
      <c r="B216" s="8"/>
      <c r="C216" s="8"/>
      <c r="D216" s="8"/>
      <c r="E216" s="8"/>
      <c r="F216" s="8"/>
      <c r="G216" s="8"/>
      <c r="H216" s="8"/>
      <c r="I216" s="8"/>
    </row>
    <row r="217" spans="2:9" hidden="1">
      <c r="B217" s="8"/>
      <c r="C217" s="8"/>
      <c r="D217" s="8"/>
      <c r="E217" s="8"/>
      <c r="F217" s="8"/>
      <c r="G217" s="8"/>
      <c r="H217" s="8"/>
      <c r="I217" s="8"/>
    </row>
    <row r="218" spans="2:9" hidden="1">
      <c r="B218" s="8"/>
      <c r="C218" s="8"/>
      <c r="D218" s="8"/>
      <c r="E218" s="8"/>
      <c r="F218" s="8"/>
      <c r="G218" s="8"/>
      <c r="H218" s="8"/>
      <c r="I218" s="8"/>
    </row>
    <row r="219" spans="2:9" hidden="1">
      <c r="B219" s="8"/>
      <c r="C219" s="8"/>
      <c r="D219" s="8"/>
      <c r="E219" s="8"/>
      <c r="F219" s="8"/>
      <c r="G219" s="8"/>
      <c r="H219" s="8"/>
      <c r="I219" s="8"/>
    </row>
    <row r="220" spans="2:9" hidden="1">
      <c r="B220" s="8"/>
      <c r="C220" s="8"/>
      <c r="D220" s="8"/>
      <c r="E220" s="8"/>
      <c r="F220" s="8"/>
      <c r="G220" s="8"/>
      <c r="H220" s="8"/>
      <c r="I220" s="8"/>
    </row>
    <row r="221" spans="2:9" hidden="1">
      <c r="B221" s="8"/>
      <c r="C221" s="8"/>
      <c r="D221" s="8"/>
      <c r="E221" s="8"/>
      <c r="F221" s="8"/>
      <c r="G221" s="8"/>
      <c r="H221" s="8"/>
      <c r="I221" s="8"/>
    </row>
    <row r="222" spans="2:9" hidden="1">
      <c r="B222" s="8"/>
      <c r="C222" s="8"/>
      <c r="D222" s="8"/>
      <c r="E222" s="8"/>
      <c r="F222" s="8"/>
      <c r="G222" s="8"/>
      <c r="H222" s="8"/>
      <c r="I222" s="8"/>
    </row>
    <row r="223" spans="2:9" hidden="1">
      <c r="B223" s="8"/>
      <c r="C223" s="8"/>
      <c r="D223" s="8"/>
      <c r="E223" s="8"/>
      <c r="F223" s="8"/>
      <c r="G223" s="8"/>
      <c r="H223" s="8"/>
      <c r="I223" s="8"/>
    </row>
    <row r="224" spans="2:9" hidden="1">
      <c r="B224" s="8"/>
      <c r="C224" s="8"/>
      <c r="D224" s="8"/>
      <c r="E224" s="8"/>
      <c r="F224" s="8"/>
      <c r="G224" s="8"/>
      <c r="H224" s="8"/>
      <c r="I224" s="8"/>
    </row>
    <row r="225" spans="2:9" hidden="1">
      <c r="B225" s="8"/>
      <c r="C225" s="8"/>
      <c r="D225" s="8"/>
      <c r="E225" s="8"/>
      <c r="F225" s="8"/>
      <c r="G225" s="8"/>
      <c r="H225" s="8"/>
      <c r="I225" s="8"/>
    </row>
    <row r="226" spans="2:9" hidden="1">
      <c r="B226" s="8"/>
      <c r="C226" s="8"/>
      <c r="D226" s="8"/>
      <c r="E226" s="8"/>
      <c r="F226" s="8"/>
      <c r="G226" s="8"/>
      <c r="H226" s="8"/>
      <c r="I226" s="8"/>
    </row>
    <row r="227" spans="2:9" hidden="1">
      <c r="B227" s="8"/>
      <c r="C227" s="8"/>
      <c r="D227" s="8"/>
      <c r="E227" s="8"/>
      <c r="F227" s="8"/>
      <c r="G227" s="8"/>
      <c r="H227" s="8"/>
      <c r="I227" s="8"/>
    </row>
    <row r="228" spans="2:9" hidden="1">
      <c r="B228" s="8"/>
      <c r="C228" s="8"/>
      <c r="D228" s="8"/>
      <c r="E228" s="8"/>
      <c r="F228" s="8"/>
      <c r="G228" s="8"/>
      <c r="H228" s="8"/>
      <c r="I228" s="8"/>
    </row>
    <row r="229" spans="2:9" hidden="1">
      <c r="B229" s="8"/>
      <c r="C229" s="8"/>
      <c r="D229" s="8"/>
      <c r="E229" s="8"/>
      <c r="F229" s="8"/>
      <c r="G229" s="8"/>
      <c r="H229" s="8"/>
      <c r="I229" s="8"/>
    </row>
    <row r="230" spans="2:9" hidden="1">
      <c r="B230" s="8"/>
      <c r="C230" s="8"/>
      <c r="D230" s="8"/>
      <c r="E230" s="8"/>
      <c r="F230" s="8"/>
      <c r="G230" s="8"/>
      <c r="H230" s="8"/>
      <c r="I230" s="8"/>
    </row>
    <row r="231" spans="2:9" hidden="1">
      <c r="B231" s="8"/>
      <c r="C231" s="8"/>
      <c r="D231" s="8"/>
      <c r="E231" s="8"/>
      <c r="F231" s="8"/>
      <c r="G231" s="8"/>
      <c r="H231" s="8"/>
      <c r="I231" s="8"/>
    </row>
    <row r="232" spans="2:9" hidden="1">
      <c r="B232" s="8"/>
      <c r="C232" s="8"/>
      <c r="D232" s="8"/>
      <c r="E232" s="8"/>
      <c r="F232" s="8"/>
      <c r="G232" s="8"/>
      <c r="H232" s="8"/>
      <c r="I232" s="8"/>
    </row>
    <row r="233" spans="2:9" hidden="1">
      <c r="B233" s="8"/>
      <c r="C233" s="8"/>
      <c r="D233" s="8"/>
      <c r="E233" s="8"/>
      <c r="F233" s="8"/>
      <c r="G233" s="8"/>
      <c r="H233" s="8"/>
      <c r="I233" s="8"/>
    </row>
    <row r="234" spans="2:9" hidden="1">
      <c r="B234" s="8"/>
      <c r="C234" s="8"/>
      <c r="D234" s="8"/>
      <c r="E234" s="8"/>
      <c r="F234" s="8"/>
      <c r="G234" s="8"/>
      <c r="H234" s="8"/>
      <c r="I234" s="8"/>
    </row>
    <row r="235" spans="2:9" hidden="1">
      <c r="B235" s="8"/>
      <c r="C235" s="8"/>
      <c r="D235" s="8"/>
      <c r="E235" s="8"/>
      <c r="F235" s="8"/>
      <c r="G235" s="8"/>
      <c r="H235" s="8"/>
      <c r="I235" s="8"/>
    </row>
    <row r="236" spans="2:9" hidden="1">
      <c r="B236" s="8"/>
      <c r="C236" s="8"/>
      <c r="D236" s="8"/>
      <c r="E236" s="8"/>
      <c r="F236" s="8"/>
      <c r="G236" s="8"/>
      <c r="H236" s="8"/>
      <c r="I236" s="8"/>
    </row>
    <row r="237" spans="2:9" hidden="1">
      <c r="B237" s="8"/>
      <c r="C237" s="8"/>
      <c r="D237" s="8"/>
      <c r="E237" s="8"/>
      <c r="F237" s="8"/>
      <c r="G237" s="8"/>
      <c r="H237" s="8"/>
      <c r="I237" s="8"/>
    </row>
    <row r="238" spans="2:9" hidden="1">
      <c r="B238" s="8"/>
      <c r="C238" s="8"/>
      <c r="D238" s="8"/>
      <c r="E238" s="8"/>
      <c r="F238" s="8"/>
      <c r="G238" s="8"/>
      <c r="H238" s="8"/>
      <c r="I238" s="8"/>
    </row>
    <row r="239" spans="2:9" hidden="1">
      <c r="B239" s="8"/>
      <c r="C239" s="8"/>
      <c r="D239" s="8"/>
      <c r="E239" s="8"/>
      <c r="F239" s="8"/>
      <c r="G239" s="8"/>
      <c r="H239" s="8"/>
      <c r="I239" s="8"/>
    </row>
    <row r="240" spans="2:9" hidden="1">
      <c r="B240" s="8"/>
      <c r="C240" s="8"/>
      <c r="D240" s="8"/>
      <c r="E240" s="8"/>
      <c r="F240" s="8"/>
      <c r="G240" s="8"/>
      <c r="H240" s="8"/>
      <c r="I240" s="8"/>
    </row>
    <row r="241" spans="2:9" hidden="1">
      <c r="B241" s="8"/>
      <c r="C241" s="8"/>
      <c r="D241" s="8"/>
      <c r="E241" s="8"/>
      <c r="F241" s="8"/>
      <c r="G241" s="8"/>
      <c r="H241" s="8"/>
      <c r="I241" s="8"/>
    </row>
    <row r="242" spans="2:9" hidden="1">
      <c r="B242" s="8"/>
      <c r="C242" s="8"/>
      <c r="D242" s="8"/>
      <c r="E242" s="8"/>
      <c r="F242" s="8"/>
      <c r="G242" s="8"/>
      <c r="H242" s="8"/>
      <c r="I242" s="8"/>
    </row>
    <row r="243" spans="2:9" hidden="1">
      <c r="B243" s="8"/>
      <c r="C243" s="8"/>
      <c r="D243" s="8"/>
      <c r="E243" s="8"/>
      <c r="F243" s="8"/>
      <c r="G243" s="8"/>
      <c r="H243" s="8"/>
      <c r="I243" s="8"/>
    </row>
    <row r="244" spans="2:9" hidden="1">
      <c r="B244" s="8"/>
      <c r="C244" s="8"/>
      <c r="D244" s="8"/>
      <c r="E244" s="8"/>
      <c r="F244" s="8"/>
      <c r="G244" s="8"/>
      <c r="H244" s="8"/>
      <c r="I244" s="8"/>
    </row>
    <row r="245" spans="2:9" hidden="1">
      <c r="B245" s="8"/>
      <c r="C245" s="8"/>
      <c r="D245" s="8"/>
      <c r="E245" s="8"/>
      <c r="F245" s="8"/>
      <c r="G245" s="8"/>
      <c r="H245" s="8"/>
      <c r="I245" s="8"/>
    </row>
    <row r="246" spans="2:9" hidden="1">
      <c r="B246" s="8"/>
      <c r="C246" s="8"/>
      <c r="D246" s="8"/>
      <c r="E246" s="8"/>
      <c r="F246" s="8"/>
      <c r="G246" s="8"/>
      <c r="H246" s="8"/>
      <c r="I246" s="8"/>
    </row>
    <row r="247" spans="2:9" hidden="1">
      <c r="B247" s="8"/>
      <c r="C247" s="8"/>
      <c r="D247" s="8"/>
      <c r="E247" s="8"/>
      <c r="F247" s="8"/>
      <c r="G247" s="8"/>
      <c r="H247" s="8"/>
      <c r="I247" s="8"/>
    </row>
    <row r="248" spans="2:9" hidden="1">
      <c r="B248" s="8"/>
      <c r="C248" s="8"/>
      <c r="D248" s="8"/>
      <c r="E248" s="8"/>
      <c r="F248" s="8"/>
      <c r="G248" s="8"/>
      <c r="H248" s="8"/>
      <c r="I248" s="8"/>
    </row>
    <row r="249" spans="2:9" hidden="1">
      <c r="B249" s="8"/>
      <c r="C249" s="8"/>
      <c r="D249" s="8"/>
      <c r="E249" s="8"/>
      <c r="F249" s="8"/>
      <c r="G249" s="8"/>
      <c r="H249" s="8"/>
      <c r="I249" s="8"/>
    </row>
    <row r="250" spans="2:9" hidden="1">
      <c r="B250" s="8"/>
      <c r="C250" s="8"/>
      <c r="D250" s="8"/>
      <c r="E250" s="8"/>
      <c r="F250" s="8"/>
      <c r="G250" s="8"/>
      <c r="H250" s="8"/>
      <c r="I250" s="8"/>
    </row>
    <row r="251" spans="2:9" hidden="1">
      <c r="B251" s="8"/>
      <c r="C251" s="8"/>
      <c r="D251" s="8"/>
      <c r="E251" s="8"/>
      <c r="F251" s="8"/>
      <c r="G251" s="8"/>
      <c r="H251" s="8"/>
      <c r="I251" s="8"/>
    </row>
    <row r="252" spans="2:9" hidden="1">
      <c r="B252" s="8"/>
      <c r="C252" s="8"/>
      <c r="D252" s="8"/>
      <c r="E252" s="8"/>
      <c r="F252" s="8"/>
      <c r="G252" s="8"/>
      <c r="H252" s="8"/>
      <c r="I252" s="8"/>
    </row>
    <row r="253" spans="2:9" hidden="1">
      <c r="B253" s="8"/>
      <c r="C253" s="8"/>
      <c r="D253" s="8"/>
      <c r="E253" s="8"/>
      <c r="F253" s="8"/>
      <c r="G253" s="8"/>
      <c r="H253" s="8"/>
      <c r="I253" s="8"/>
    </row>
    <row r="254" spans="2:9" hidden="1">
      <c r="B254" s="8"/>
      <c r="C254" s="8"/>
      <c r="D254" s="8"/>
      <c r="E254" s="8"/>
      <c r="F254" s="8"/>
      <c r="G254" s="8"/>
      <c r="H254" s="8"/>
      <c r="I254" s="8"/>
    </row>
    <row r="255" spans="2:9" hidden="1">
      <c r="B255" s="8"/>
      <c r="C255" s="8"/>
      <c r="D255" s="8"/>
      <c r="E255" s="8"/>
      <c r="F255" s="8"/>
      <c r="G255" s="8"/>
      <c r="H255" s="8"/>
      <c r="I255" s="8"/>
    </row>
    <row r="256" spans="2:9" hidden="1">
      <c r="B256" s="8"/>
      <c r="C256" s="8"/>
      <c r="D256" s="8"/>
      <c r="E256" s="8"/>
      <c r="F256" s="8"/>
      <c r="G256" s="8"/>
      <c r="H256" s="8"/>
      <c r="I256" s="8"/>
    </row>
    <row r="257" spans="2:9" hidden="1">
      <c r="B257" s="8"/>
      <c r="C257" s="8"/>
      <c r="D257" s="8"/>
      <c r="E257" s="8"/>
      <c r="F257" s="8"/>
      <c r="G257" s="8"/>
      <c r="H257" s="8"/>
      <c r="I257" s="8"/>
    </row>
    <row r="258" spans="2:9" hidden="1">
      <c r="B258" s="8"/>
      <c r="C258" s="8"/>
      <c r="D258" s="8"/>
      <c r="E258" s="8"/>
      <c r="F258" s="8"/>
      <c r="G258" s="8"/>
      <c r="H258" s="8"/>
      <c r="I258" s="8"/>
    </row>
    <row r="259" spans="2:9" hidden="1">
      <c r="B259" s="8"/>
      <c r="C259" s="8"/>
      <c r="D259" s="8"/>
      <c r="E259" s="8"/>
      <c r="F259" s="8"/>
      <c r="G259" s="8"/>
      <c r="H259" s="8"/>
      <c r="I259" s="8"/>
    </row>
    <row r="260" spans="2:9" hidden="1">
      <c r="B260" s="8"/>
      <c r="C260" s="8"/>
      <c r="D260" s="8"/>
      <c r="E260" s="8"/>
      <c r="F260" s="8"/>
      <c r="G260" s="8"/>
      <c r="H260" s="8"/>
      <c r="I260" s="8"/>
    </row>
    <row r="261" spans="2:9" hidden="1">
      <c r="B261" s="8"/>
      <c r="C261" s="8"/>
      <c r="D261" s="8"/>
      <c r="E261" s="8"/>
      <c r="F261" s="8"/>
      <c r="G261" s="8"/>
      <c r="H261" s="8"/>
      <c r="I261" s="8"/>
    </row>
    <row r="262" spans="2:9" hidden="1">
      <c r="B262" s="8"/>
      <c r="C262" s="8"/>
      <c r="D262" s="8"/>
      <c r="E262" s="8"/>
      <c r="F262" s="8"/>
      <c r="G262" s="8"/>
      <c r="H262" s="8"/>
      <c r="I262" s="8"/>
    </row>
    <row r="263" spans="2:9" hidden="1">
      <c r="B263" s="8"/>
      <c r="C263" s="8"/>
      <c r="D263" s="8"/>
      <c r="E263" s="8"/>
      <c r="F263" s="8"/>
      <c r="G263" s="8"/>
      <c r="H263" s="8"/>
      <c r="I263" s="8"/>
    </row>
    <row r="264" spans="2:9" hidden="1">
      <c r="B264" s="8"/>
      <c r="C264" s="8"/>
      <c r="D264" s="8"/>
      <c r="E264" s="8"/>
      <c r="F264" s="8"/>
      <c r="G264" s="8"/>
      <c r="H264" s="8"/>
      <c r="I264" s="8"/>
    </row>
    <row r="265" spans="2:9" hidden="1">
      <c r="B265" s="8"/>
      <c r="C265" s="8"/>
      <c r="D265" s="8"/>
      <c r="E265" s="8"/>
      <c r="F265" s="8"/>
      <c r="G265" s="8"/>
      <c r="H265" s="8"/>
      <c r="I265" s="8"/>
    </row>
    <row r="266" spans="2:9" hidden="1">
      <c r="B266" s="8"/>
      <c r="C266" s="8"/>
      <c r="D266" s="8"/>
      <c r="E266" s="8"/>
      <c r="F266" s="8"/>
      <c r="G266" s="8"/>
      <c r="H266" s="8"/>
      <c r="I266" s="8"/>
    </row>
    <row r="267" spans="2:9" hidden="1">
      <c r="B267" s="8"/>
      <c r="C267" s="8"/>
      <c r="D267" s="8"/>
      <c r="E267" s="8"/>
      <c r="F267" s="8"/>
      <c r="G267" s="8"/>
      <c r="H267" s="8"/>
      <c r="I267" s="8"/>
    </row>
    <row r="268" spans="2:9" hidden="1">
      <c r="B268" s="8"/>
      <c r="C268" s="8"/>
      <c r="D268" s="8"/>
      <c r="E268" s="8"/>
      <c r="F268" s="8"/>
      <c r="G268" s="8"/>
      <c r="H268" s="8"/>
      <c r="I268" s="8"/>
    </row>
    <row r="269" spans="2:9" hidden="1">
      <c r="B269" s="8"/>
      <c r="C269" s="8"/>
      <c r="D269" s="8"/>
      <c r="E269" s="8"/>
      <c r="F269" s="8"/>
      <c r="G269" s="8"/>
      <c r="H269" s="8"/>
      <c r="I269" s="8"/>
    </row>
    <row r="270" spans="2:9" hidden="1">
      <c r="B270" s="8"/>
      <c r="C270" s="8"/>
      <c r="D270" s="8"/>
      <c r="E270" s="8"/>
      <c r="F270" s="8"/>
      <c r="G270" s="8"/>
      <c r="H270" s="8"/>
      <c r="I270" s="8"/>
    </row>
    <row r="271" spans="2:9" hidden="1">
      <c r="B271" s="8"/>
      <c r="C271" s="8"/>
      <c r="D271" s="8"/>
      <c r="E271" s="8"/>
      <c r="F271" s="8"/>
      <c r="G271" s="8"/>
      <c r="H271" s="8"/>
      <c r="I271" s="8"/>
    </row>
    <row r="272" spans="2:9" hidden="1">
      <c r="B272" s="8"/>
      <c r="C272" s="8"/>
      <c r="D272" s="8"/>
      <c r="E272" s="8"/>
      <c r="F272" s="8"/>
      <c r="G272" s="8"/>
      <c r="H272" s="8"/>
      <c r="I272" s="8"/>
    </row>
    <row r="273" spans="2:9" hidden="1">
      <c r="B273" s="8"/>
      <c r="C273" s="8"/>
      <c r="D273" s="8"/>
      <c r="E273" s="8"/>
      <c r="F273" s="8"/>
      <c r="G273" s="8"/>
      <c r="H273" s="8"/>
      <c r="I273" s="8"/>
    </row>
    <row r="274" spans="2:9" hidden="1">
      <c r="B274" s="8"/>
      <c r="C274" s="8"/>
      <c r="D274" s="8"/>
      <c r="E274" s="8"/>
      <c r="F274" s="8"/>
      <c r="G274" s="8"/>
      <c r="H274" s="8"/>
      <c r="I274" s="8"/>
    </row>
    <row r="275" spans="2:9" hidden="1">
      <c r="B275" s="8"/>
      <c r="C275" s="8"/>
      <c r="D275" s="8"/>
      <c r="E275" s="8"/>
      <c r="F275" s="8"/>
      <c r="G275" s="8"/>
      <c r="H275" s="8"/>
      <c r="I275" s="8"/>
    </row>
    <row r="276" spans="2:9" hidden="1">
      <c r="B276" s="8"/>
      <c r="C276" s="8"/>
      <c r="D276" s="8"/>
      <c r="E276" s="8"/>
      <c r="F276" s="8"/>
      <c r="G276" s="8"/>
      <c r="H276" s="8"/>
      <c r="I276" s="8"/>
    </row>
    <row r="277" spans="2:9" hidden="1">
      <c r="B277" s="8"/>
      <c r="C277" s="8"/>
      <c r="D277" s="8"/>
      <c r="E277" s="8"/>
      <c r="F277" s="8"/>
      <c r="G277" s="8"/>
      <c r="H277" s="8"/>
      <c r="I277" s="8"/>
    </row>
    <row r="278" spans="2:9" hidden="1">
      <c r="B278" s="8"/>
      <c r="C278" s="8"/>
      <c r="D278" s="8"/>
      <c r="E278" s="8"/>
      <c r="F278" s="8"/>
      <c r="G278" s="8"/>
      <c r="H278" s="8"/>
      <c r="I278" s="8"/>
    </row>
    <row r="279" spans="2:9" hidden="1">
      <c r="B279" s="8"/>
      <c r="C279" s="8"/>
      <c r="D279" s="8"/>
      <c r="E279" s="8"/>
      <c r="F279" s="8"/>
      <c r="G279" s="8"/>
      <c r="H279" s="8"/>
      <c r="I279" s="8"/>
    </row>
    <row r="280" spans="2:9" hidden="1">
      <c r="B280" s="8"/>
      <c r="C280" s="8"/>
      <c r="D280" s="8"/>
      <c r="E280" s="8"/>
      <c r="F280" s="8"/>
      <c r="G280" s="8"/>
      <c r="H280" s="8"/>
      <c r="I280" s="8"/>
    </row>
    <row r="281" spans="2:9" hidden="1">
      <c r="B281" s="8"/>
      <c r="C281" s="8"/>
      <c r="D281" s="8"/>
      <c r="E281" s="8"/>
      <c r="F281" s="8"/>
      <c r="G281" s="8"/>
      <c r="H281" s="8"/>
      <c r="I281" s="8"/>
    </row>
    <row r="282" spans="2:9" hidden="1">
      <c r="B282" s="8"/>
      <c r="C282" s="8"/>
      <c r="D282" s="8"/>
      <c r="E282" s="8"/>
      <c r="F282" s="8"/>
      <c r="G282" s="8"/>
      <c r="H282" s="8"/>
      <c r="I282" s="8"/>
    </row>
    <row r="283" spans="2:9" hidden="1">
      <c r="B283" s="8"/>
      <c r="C283" s="8"/>
      <c r="D283" s="8"/>
      <c r="E283" s="8"/>
      <c r="F283" s="8"/>
      <c r="G283" s="8"/>
      <c r="H283" s="8"/>
      <c r="I283" s="8"/>
    </row>
    <row r="284" spans="2:9" hidden="1">
      <c r="B284" s="8"/>
      <c r="C284" s="8"/>
      <c r="D284" s="8"/>
      <c r="E284" s="8"/>
      <c r="F284" s="8"/>
      <c r="G284" s="8"/>
      <c r="H284" s="8"/>
      <c r="I284" s="8"/>
    </row>
    <row r="285" spans="2:9" hidden="1">
      <c r="B285" s="8"/>
      <c r="C285" s="8"/>
      <c r="D285" s="8"/>
      <c r="E285" s="8"/>
      <c r="F285" s="8"/>
      <c r="G285" s="8"/>
      <c r="H285" s="8"/>
      <c r="I285" s="8"/>
    </row>
    <row r="286" spans="2:9" hidden="1">
      <c r="B286" s="8"/>
      <c r="C286" s="8"/>
      <c r="D286" s="8"/>
      <c r="E286" s="8"/>
      <c r="F286" s="8"/>
      <c r="G286" s="8"/>
      <c r="H286" s="8"/>
      <c r="I286" s="8"/>
    </row>
    <row r="287" spans="2:9" hidden="1">
      <c r="B287" s="8"/>
      <c r="C287" s="8"/>
      <c r="D287" s="8"/>
      <c r="E287" s="8"/>
      <c r="F287" s="8"/>
      <c r="G287" s="8"/>
      <c r="H287" s="8"/>
      <c r="I287" s="8"/>
    </row>
    <row r="288" spans="2:9" hidden="1">
      <c r="B288" s="8"/>
      <c r="C288" s="8"/>
      <c r="D288" s="8"/>
      <c r="E288" s="8"/>
      <c r="F288" s="8"/>
      <c r="G288" s="8"/>
      <c r="H288" s="8"/>
      <c r="I288" s="8"/>
    </row>
    <row r="289" spans="2:9" hidden="1">
      <c r="B289" s="8"/>
      <c r="C289" s="8"/>
      <c r="D289" s="8"/>
      <c r="E289" s="8"/>
      <c r="F289" s="8"/>
      <c r="G289" s="8"/>
      <c r="H289" s="8"/>
      <c r="I289" s="8"/>
    </row>
    <row r="290" spans="2:9" hidden="1">
      <c r="B290" s="8"/>
      <c r="C290" s="8"/>
      <c r="D290" s="8"/>
      <c r="E290" s="8"/>
      <c r="F290" s="8"/>
      <c r="G290" s="8"/>
      <c r="H290" s="8"/>
      <c r="I290" s="8"/>
    </row>
    <row r="291" spans="2:9" hidden="1">
      <c r="B291" s="8"/>
      <c r="C291" s="8"/>
      <c r="D291" s="8"/>
      <c r="E291" s="8"/>
      <c r="F291" s="8"/>
      <c r="G291" s="8"/>
      <c r="H291" s="8"/>
      <c r="I291" s="8"/>
    </row>
    <row r="292" spans="2:9" hidden="1">
      <c r="B292" s="8"/>
      <c r="C292" s="8"/>
      <c r="D292" s="8"/>
      <c r="E292" s="8"/>
      <c r="F292" s="8"/>
      <c r="G292" s="8"/>
      <c r="H292" s="8"/>
      <c r="I292" s="8"/>
    </row>
    <row r="293" spans="2:9" hidden="1">
      <c r="B293" s="8"/>
      <c r="C293" s="8"/>
      <c r="D293" s="8"/>
      <c r="E293" s="8"/>
      <c r="F293" s="8"/>
      <c r="G293" s="8"/>
      <c r="H293" s="8"/>
      <c r="I293" s="8"/>
    </row>
    <row r="294" spans="2:9" hidden="1">
      <c r="B294" s="8"/>
      <c r="C294" s="8"/>
      <c r="D294" s="8"/>
      <c r="E294" s="8"/>
      <c r="F294" s="8"/>
      <c r="G294" s="8"/>
      <c r="H294" s="8"/>
      <c r="I294" s="8"/>
    </row>
    <row r="295" spans="2:9" hidden="1">
      <c r="B295" s="8"/>
      <c r="C295" s="8"/>
      <c r="D295" s="8"/>
      <c r="E295" s="8"/>
      <c r="F295" s="8"/>
      <c r="G295" s="8"/>
      <c r="H295" s="8"/>
      <c r="I295" s="8"/>
    </row>
    <row r="296" spans="2:9" hidden="1">
      <c r="B296" s="8"/>
      <c r="C296" s="8"/>
      <c r="D296" s="8"/>
      <c r="E296" s="8"/>
      <c r="F296" s="8"/>
      <c r="G296" s="8"/>
      <c r="H296" s="8"/>
      <c r="I296" s="8"/>
    </row>
    <row r="297" spans="2:9" hidden="1">
      <c r="B297" s="8"/>
      <c r="C297" s="8"/>
      <c r="D297" s="8"/>
      <c r="E297" s="8"/>
      <c r="F297" s="8"/>
      <c r="G297" s="8"/>
      <c r="H297" s="8"/>
      <c r="I297" s="8"/>
    </row>
    <row r="298" spans="2:9" hidden="1">
      <c r="B298" s="8"/>
      <c r="C298" s="8"/>
      <c r="D298" s="8"/>
      <c r="E298" s="8"/>
      <c r="F298" s="8"/>
      <c r="G298" s="8"/>
      <c r="H298" s="8"/>
      <c r="I298" s="8"/>
    </row>
    <row r="299" spans="2:9" hidden="1">
      <c r="B299" s="8"/>
      <c r="C299" s="8"/>
      <c r="D299" s="8"/>
      <c r="E299" s="8"/>
      <c r="F299" s="8"/>
      <c r="G299" s="8"/>
      <c r="H299" s="8"/>
      <c r="I299" s="8"/>
    </row>
    <row r="300" spans="2:9" hidden="1">
      <c r="B300" s="8"/>
      <c r="C300" s="8"/>
      <c r="D300" s="8"/>
      <c r="E300" s="8"/>
      <c r="F300" s="8"/>
      <c r="G300" s="8"/>
      <c r="H300" s="8"/>
      <c r="I300" s="8"/>
    </row>
    <row r="301" spans="2:9" hidden="1">
      <c r="B301" s="8"/>
      <c r="C301" s="8"/>
      <c r="D301" s="8"/>
      <c r="E301" s="8"/>
      <c r="F301" s="8"/>
      <c r="G301" s="8"/>
      <c r="H301" s="8"/>
      <c r="I301" s="8"/>
    </row>
    <row r="302" spans="2:9" hidden="1">
      <c r="B302" s="8"/>
      <c r="C302" s="8"/>
      <c r="D302" s="8"/>
      <c r="E302" s="8"/>
      <c r="F302" s="8"/>
      <c r="G302" s="8"/>
      <c r="H302" s="8"/>
      <c r="I302" s="8"/>
    </row>
    <row r="303" spans="2:9" hidden="1">
      <c r="B303" s="8"/>
      <c r="C303" s="8"/>
      <c r="D303" s="8"/>
      <c r="E303" s="8"/>
      <c r="F303" s="8"/>
      <c r="G303" s="8"/>
      <c r="H303" s="8"/>
      <c r="I303" s="8"/>
    </row>
    <row r="304" spans="2:9" hidden="1">
      <c r="B304" s="8"/>
      <c r="C304" s="8"/>
      <c r="D304" s="8"/>
      <c r="E304" s="8"/>
      <c r="F304" s="8"/>
      <c r="G304" s="8"/>
      <c r="H304" s="8"/>
      <c r="I304" s="8"/>
    </row>
    <row r="305" spans="2:9" hidden="1">
      <c r="B305" s="8"/>
      <c r="C305" s="8"/>
      <c r="D305" s="8"/>
      <c r="E305" s="8"/>
      <c r="F305" s="8"/>
      <c r="G305" s="8"/>
      <c r="H305" s="8"/>
      <c r="I305" s="8"/>
    </row>
    <row r="306" spans="2:9" hidden="1">
      <c r="B306" s="8"/>
      <c r="C306" s="8"/>
      <c r="D306" s="8"/>
      <c r="E306" s="8"/>
      <c r="F306" s="8"/>
      <c r="G306" s="8"/>
      <c r="H306" s="8"/>
      <c r="I306" s="8"/>
    </row>
    <row r="307" spans="2:9" hidden="1">
      <c r="B307" s="8"/>
      <c r="C307" s="8"/>
      <c r="D307" s="8"/>
      <c r="E307" s="8"/>
      <c r="F307" s="8"/>
      <c r="G307" s="8"/>
      <c r="H307" s="8"/>
      <c r="I307" s="8"/>
    </row>
    <row r="308" spans="2:9" hidden="1">
      <c r="B308" s="8"/>
      <c r="C308" s="8"/>
      <c r="D308" s="8"/>
      <c r="E308" s="8"/>
      <c r="F308" s="8"/>
      <c r="G308" s="8"/>
      <c r="H308" s="8"/>
      <c r="I308" s="8"/>
    </row>
    <row r="309" spans="2:9" hidden="1">
      <c r="B309" s="8"/>
      <c r="C309" s="8"/>
      <c r="D309" s="8"/>
      <c r="E309" s="8"/>
      <c r="F309" s="8"/>
      <c r="G309" s="8"/>
      <c r="H309" s="8"/>
      <c r="I309" s="8"/>
    </row>
    <row r="310" spans="2:9" hidden="1">
      <c r="B310" s="8"/>
      <c r="C310" s="8"/>
      <c r="D310" s="8"/>
      <c r="E310" s="8"/>
      <c r="F310" s="8"/>
      <c r="G310" s="8"/>
      <c r="H310" s="8"/>
      <c r="I310" s="8"/>
    </row>
    <row r="311" spans="2:9" hidden="1">
      <c r="B311" s="8"/>
      <c r="C311" s="8"/>
      <c r="D311" s="8"/>
      <c r="E311" s="8"/>
      <c r="F311" s="8"/>
      <c r="G311" s="8"/>
      <c r="H311" s="8"/>
      <c r="I311" s="8"/>
    </row>
    <row r="312" spans="2:9" hidden="1">
      <c r="B312" s="8"/>
      <c r="C312" s="8"/>
      <c r="D312" s="8"/>
      <c r="E312" s="8"/>
      <c r="F312" s="8"/>
      <c r="G312" s="8"/>
      <c r="H312" s="8"/>
      <c r="I312" s="8"/>
    </row>
    <row r="313" spans="2:9" hidden="1">
      <c r="B313" s="8"/>
      <c r="C313" s="8"/>
      <c r="D313" s="8"/>
      <c r="E313" s="8"/>
      <c r="F313" s="8"/>
      <c r="G313" s="8"/>
      <c r="H313" s="8"/>
      <c r="I313" s="8"/>
    </row>
    <row r="314" spans="2:9" hidden="1">
      <c r="B314" s="8"/>
      <c r="C314" s="8"/>
      <c r="D314" s="8"/>
      <c r="E314" s="8"/>
      <c r="F314" s="8"/>
      <c r="G314" s="8"/>
      <c r="H314" s="8"/>
      <c r="I314" s="8"/>
    </row>
    <row r="315" spans="2:9" hidden="1">
      <c r="B315" s="8"/>
      <c r="C315" s="8"/>
      <c r="D315" s="8"/>
      <c r="E315" s="8"/>
      <c r="F315" s="8"/>
      <c r="G315" s="8"/>
      <c r="H315" s="8"/>
      <c r="I315" s="8"/>
    </row>
    <row r="316" spans="2:9" hidden="1">
      <c r="B316" s="8"/>
      <c r="C316" s="8"/>
      <c r="D316" s="8"/>
      <c r="E316" s="8"/>
      <c r="F316" s="8"/>
      <c r="G316" s="8"/>
      <c r="H316" s="8"/>
      <c r="I316" s="8"/>
    </row>
    <row r="317" spans="2:9" hidden="1">
      <c r="B317" s="8"/>
      <c r="C317" s="8"/>
      <c r="D317" s="8"/>
      <c r="E317" s="8"/>
      <c r="F317" s="8"/>
      <c r="G317" s="8"/>
      <c r="H317" s="8"/>
      <c r="I317" s="8"/>
    </row>
    <row r="318" spans="2:9" hidden="1">
      <c r="B318" s="8"/>
      <c r="C318" s="8"/>
      <c r="D318" s="8"/>
      <c r="E318" s="8"/>
      <c r="F318" s="8"/>
      <c r="G318" s="8"/>
      <c r="H318" s="8"/>
      <c r="I318" s="8"/>
    </row>
    <row r="319" spans="2:9" hidden="1">
      <c r="B319" s="8"/>
      <c r="C319" s="8"/>
      <c r="D319" s="8"/>
      <c r="E319" s="8"/>
      <c r="F319" s="8"/>
      <c r="G319" s="8"/>
      <c r="H319" s="8"/>
      <c r="I319" s="8"/>
    </row>
    <row r="320" spans="2:9" hidden="1">
      <c r="B320" s="8"/>
      <c r="C320" s="8"/>
      <c r="D320" s="8"/>
      <c r="E320" s="8"/>
      <c r="F320" s="8"/>
      <c r="G320" s="8"/>
      <c r="H320" s="8"/>
      <c r="I320" s="8"/>
    </row>
    <row r="321" spans="2:9" hidden="1">
      <c r="B321" s="8"/>
      <c r="C321" s="8"/>
      <c r="D321" s="8"/>
      <c r="E321" s="8"/>
      <c r="F321" s="8"/>
      <c r="G321" s="8"/>
      <c r="H321" s="8"/>
      <c r="I321" s="8"/>
    </row>
    <row r="322" spans="2:9" hidden="1">
      <c r="B322" s="8"/>
      <c r="C322" s="8"/>
      <c r="D322" s="8"/>
      <c r="E322" s="8"/>
      <c r="F322" s="8"/>
      <c r="G322" s="8"/>
      <c r="H322" s="8"/>
      <c r="I322" s="8"/>
    </row>
    <row r="323" spans="2:9" hidden="1">
      <c r="B323" s="8"/>
      <c r="C323" s="8"/>
      <c r="D323" s="8"/>
      <c r="E323" s="8"/>
      <c r="F323" s="8"/>
      <c r="G323" s="8"/>
      <c r="H323" s="8"/>
      <c r="I323" s="8"/>
    </row>
    <row r="324" spans="2:9" hidden="1">
      <c r="B324" s="8"/>
      <c r="C324" s="8"/>
      <c r="D324" s="8"/>
      <c r="E324" s="8"/>
      <c r="F324" s="8"/>
      <c r="G324" s="8"/>
      <c r="H324" s="8"/>
      <c r="I324" s="8"/>
    </row>
    <row r="325" spans="2:9" hidden="1">
      <c r="B325" s="8"/>
      <c r="C325" s="8"/>
      <c r="D325" s="8"/>
      <c r="E325" s="8"/>
      <c r="F325" s="8"/>
      <c r="G325" s="8"/>
      <c r="H325" s="8"/>
      <c r="I325" s="8"/>
    </row>
    <row r="326" spans="2:9" hidden="1">
      <c r="B326" s="8"/>
      <c r="C326" s="8"/>
      <c r="D326" s="8"/>
      <c r="E326" s="8"/>
      <c r="F326" s="8"/>
      <c r="G326" s="8"/>
      <c r="H326" s="8"/>
      <c r="I326" s="8"/>
    </row>
    <row r="327" spans="2:9" hidden="1">
      <c r="B327" s="8"/>
      <c r="C327" s="8"/>
      <c r="D327" s="8"/>
      <c r="E327" s="8"/>
      <c r="F327" s="8"/>
      <c r="G327" s="8"/>
      <c r="H327" s="8"/>
      <c r="I327" s="8"/>
    </row>
    <row r="328" spans="2:9" hidden="1">
      <c r="B328" s="8"/>
      <c r="C328" s="8"/>
      <c r="D328" s="8"/>
      <c r="E328" s="8"/>
      <c r="F328" s="8"/>
      <c r="G328" s="8"/>
      <c r="H328" s="8"/>
      <c r="I328" s="8"/>
    </row>
    <row r="329" spans="2:9" hidden="1">
      <c r="B329" s="8"/>
      <c r="C329" s="8"/>
      <c r="D329" s="8"/>
      <c r="E329" s="8"/>
      <c r="F329" s="8"/>
      <c r="G329" s="8"/>
      <c r="H329" s="8"/>
      <c r="I329" s="8"/>
    </row>
    <row r="330" spans="2:9" hidden="1">
      <c r="B330" s="8"/>
      <c r="C330" s="8"/>
      <c r="D330" s="8"/>
      <c r="E330" s="8"/>
      <c r="F330" s="8"/>
      <c r="G330" s="8"/>
      <c r="H330" s="8"/>
      <c r="I330" s="8"/>
    </row>
    <row r="331" spans="2:9" hidden="1">
      <c r="B331" s="8"/>
      <c r="C331" s="8"/>
      <c r="D331" s="8"/>
      <c r="E331" s="8"/>
      <c r="F331" s="8"/>
      <c r="G331" s="8"/>
      <c r="H331" s="8"/>
      <c r="I331" s="8"/>
    </row>
    <row r="332" spans="2:9" hidden="1">
      <c r="B332" s="8"/>
      <c r="C332" s="8"/>
      <c r="D332" s="8"/>
      <c r="E332" s="8"/>
      <c r="F332" s="8"/>
      <c r="G332" s="8"/>
      <c r="H332" s="8"/>
      <c r="I332" s="8"/>
    </row>
    <row r="333" spans="2:9" hidden="1">
      <c r="B333" s="8"/>
      <c r="C333" s="8"/>
      <c r="D333" s="8"/>
      <c r="E333" s="8"/>
      <c r="F333" s="8"/>
      <c r="G333" s="8"/>
      <c r="H333" s="8"/>
      <c r="I333" s="8"/>
    </row>
    <row r="334" spans="2:9" hidden="1">
      <c r="B334" s="8"/>
      <c r="C334" s="8"/>
      <c r="D334" s="8"/>
      <c r="E334" s="8"/>
      <c r="F334" s="8"/>
      <c r="G334" s="8"/>
      <c r="H334" s="8"/>
      <c r="I334" s="8"/>
    </row>
    <row r="335" spans="2:9" hidden="1">
      <c r="B335" s="8"/>
      <c r="C335" s="8"/>
      <c r="D335" s="8"/>
      <c r="E335" s="8"/>
      <c r="F335" s="8"/>
      <c r="G335" s="8"/>
      <c r="H335" s="8"/>
      <c r="I335" s="8"/>
    </row>
    <row r="336" spans="2:9" hidden="1">
      <c r="B336" s="8"/>
      <c r="C336" s="8"/>
      <c r="D336" s="8"/>
      <c r="E336" s="8"/>
      <c r="F336" s="8"/>
      <c r="G336" s="8"/>
      <c r="H336" s="8"/>
      <c r="I336" s="8"/>
    </row>
    <row r="337" spans="2:9" hidden="1">
      <c r="B337" s="8"/>
      <c r="C337" s="8"/>
      <c r="D337" s="8"/>
      <c r="E337" s="8"/>
      <c r="F337" s="8"/>
      <c r="G337" s="8"/>
      <c r="H337" s="8"/>
      <c r="I337" s="8"/>
    </row>
    <row r="338" spans="2:9" hidden="1">
      <c r="B338" s="8"/>
      <c r="C338" s="8"/>
      <c r="D338" s="8"/>
      <c r="E338" s="8"/>
      <c r="F338" s="8"/>
      <c r="G338" s="8"/>
      <c r="H338" s="8"/>
      <c r="I338" s="8"/>
    </row>
    <row r="339" spans="2:9" hidden="1">
      <c r="B339" s="8"/>
      <c r="C339" s="8"/>
      <c r="D339" s="8"/>
      <c r="E339" s="8"/>
      <c r="F339" s="8"/>
      <c r="G339" s="8"/>
      <c r="H339" s="8"/>
      <c r="I339" s="8"/>
    </row>
    <row r="340" spans="2:9" hidden="1">
      <c r="B340" s="8"/>
      <c r="C340" s="8"/>
      <c r="D340" s="8"/>
      <c r="E340" s="8"/>
      <c r="F340" s="8"/>
      <c r="G340" s="8"/>
      <c r="H340" s="8"/>
      <c r="I340" s="8"/>
    </row>
    <row r="341" spans="2:9" hidden="1">
      <c r="B341" s="8"/>
      <c r="C341" s="8"/>
      <c r="D341" s="8"/>
      <c r="E341" s="8"/>
      <c r="F341" s="8"/>
      <c r="G341" s="8"/>
      <c r="H341" s="8"/>
      <c r="I341" s="8"/>
    </row>
    <row r="342" spans="2:9" hidden="1">
      <c r="B342" s="8"/>
      <c r="C342" s="8"/>
      <c r="D342" s="8"/>
      <c r="E342" s="8"/>
      <c r="F342" s="8"/>
      <c r="G342" s="8"/>
      <c r="H342" s="8"/>
      <c r="I342" s="8"/>
    </row>
    <row r="343" spans="2:9" hidden="1">
      <c r="B343" s="8"/>
      <c r="C343" s="8"/>
      <c r="D343" s="8"/>
      <c r="E343" s="8"/>
      <c r="F343" s="8"/>
      <c r="G343" s="8"/>
      <c r="H343" s="8"/>
      <c r="I343" s="8"/>
    </row>
    <row r="344" spans="2:9" hidden="1">
      <c r="B344" s="8"/>
      <c r="C344" s="8"/>
      <c r="D344" s="8"/>
      <c r="E344" s="8"/>
      <c r="F344" s="8"/>
      <c r="G344" s="8"/>
      <c r="H344" s="8"/>
      <c r="I344" s="8"/>
    </row>
    <row r="345" spans="2:9" hidden="1">
      <c r="B345" s="8"/>
      <c r="C345" s="8"/>
      <c r="D345" s="8"/>
      <c r="E345" s="8"/>
      <c r="F345" s="8"/>
      <c r="G345" s="8"/>
      <c r="H345" s="8"/>
      <c r="I345" s="8"/>
    </row>
    <row r="346" spans="2:9" hidden="1">
      <c r="B346" s="8"/>
      <c r="C346" s="8"/>
      <c r="D346" s="8"/>
      <c r="E346" s="8"/>
      <c r="F346" s="8"/>
      <c r="G346" s="8"/>
      <c r="H346" s="8"/>
      <c r="I346" s="8"/>
    </row>
    <row r="347" spans="2:9" hidden="1">
      <c r="B347" s="8"/>
      <c r="C347" s="8"/>
      <c r="D347" s="8"/>
      <c r="E347" s="8"/>
      <c r="F347" s="8"/>
      <c r="G347" s="8"/>
      <c r="H347" s="8"/>
      <c r="I347" s="8"/>
    </row>
    <row r="348" spans="2:9" hidden="1">
      <c r="B348" s="8"/>
      <c r="C348" s="8"/>
      <c r="D348" s="8"/>
      <c r="E348" s="8"/>
      <c r="F348" s="8"/>
      <c r="G348" s="8"/>
      <c r="H348" s="8"/>
      <c r="I348" s="8"/>
    </row>
    <row r="349" spans="2:9" hidden="1">
      <c r="B349" s="8"/>
      <c r="C349" s="8"/>
      <c r="D349" s="8"/>
      <c r="E349" s="8"/>
      <c r="F349" s="8"/>
      <c r="G349" s="8"/>
      <c r="H349" s="8"/>
      <c r="I349" s="8"/>
    </row>
    <row r="350" spans="2:9" hidden="1">
      <c r="B350" s="8"/>
      <c r="C350" s="8"/>
      <c r="D350" s="8"/>
      <c r="E350" s="8"/>
      <c r="F350" s="8"/>
      <c r="G350" s="8"/>
      <c r="H350" s="8"/>
      <c r="I350" s="8"/>
    </row>
    <row r="351" spans="2:9" hidden="1">
      <c r="B351" s="8"/>
      <c r="C351" s="8"/>
      <c r="D351" s="8"/>
      <c r="E351" s="8"/>
      <c r="F351" s="8"/>
      <c r="G351" s="8"/>
      <c r="H351" s="8"/>
      <c r="I351" s="8"/>
    </row>
    <row r="352" spans="2:9" hidden="1">
      <c r="B352" s="8"/>
      <c r="C352" s="8"/>
      <c r="D352" s="8"/>
      <c r="E352" s="8"/>
      <c r="F352" s="8"/>
      <c r="G352" s="8"/>
      <c r="H352" s="8"/>
      <c r="I352" s="8"/>
    </row>
    <row r="353" spans="2:9" hidden="1">
      <c r="B353" s="8"/>
      <c r="C353" s="8"/>
      <c r="D353" s="8"/>
      <c r="E353" s="8"/>
      <c r="F353" s="8"/>
      <c r="G353" s="8"/>
      <c r="H353" s="8"/>
      <c r="I353" s="8"/>
    </row>
    <row r="354" spans="2:9" hidden="1">
      <c r="B354" s="8"/>
      <c r="C354" s="8"/>
      <c r="D354" s="8"/>
      <c r="E354" s="8"/>
      <c r="F354" s="8"/>
      <c r="G354" s="8"/>
      <c r="H354" s="8"/>
      <c r="I354" s="8"/>
    </row>
    <row r="355" spans="2:9" hidden="1">
      <c r="B355" s="8"/>
      <c r="C355" s="8"/>
      <c r="D355" s="8"/>
      <c r="E355" s="8"/>
      <c r="F355" s="8"/>
      <c r="G355" s="8"/>
      <c r="H355" s="8"/>
      <c r="I355" s="8"/>
    </row>
    <row r="356" spans="2:9" hidden="1">
      <c r="B356" s="8"/>
      <c r="C356" s="8"/>
      <c r="D356" s="8"/>
      <c r="E356" s="8"/>
      <c r="F356" s="8"/>
      <c r="G356" s="8"/>
      <c r="H356" s="8"/>
      <c r="I356" s="8"/>
    </row>
    <row r="357" spans="2:9" hidden="1">
      <c r="B357" s="8"/>
      <c r="C357" s="8"/>
      <c r="D357" s="8"/>
      <c r="E357" s="8"/>
      <c r="F357" s="8"/>
      <c r="G357" s="8"/>
      <c r="H357" s="8"/>
      <c r="I357" s="8"/>
    </row>
    <row r="358" spans="2:9" hidden="1">
      <c r="B358" s="8"/>
      <c r="C358" s="8"/>
      <c r="D358" s="8"/>
      <c r="E358" s="8"/>
      <c r="F358" s="8"/>
      <c r="G358" s="8"/>
      <c r="H358" s="8"/>
      <c r="I358" s="8"/>
    </row>
    <row r="359" spans="2:9" hidden="1">
      <c r="B359" s="8"/>
      <c r="C359" s="8"/>
      <c r="D359" s="8"/>
      <c r="E359" s="8"/>
      <c r="F359" s="8"/>
      <c r="G359" s="8"/>
      <c r="H359" s="8"/>
      <c r="I359" s="8"/>
    </row>
    <row r="360" spans="2:9" hidden="1">
      <c r="B360" s="8"/>
      <c r="C360" s="8"/>
      <c r="D360" s="8"/>
      <c r="E360" s="8"/>
      <c r="F360" s="8"/>
      <c r="G360" s="8"/>
      <c r="H360" s="8"/>
      <c r="I360" s="8"/>
    </row>
    <row r="361" spans="2:9" hidden="1">
      <c r="B361" s="8"/>
      <c r="C361" s="8"/>
      <c r="D361" s="8"/>
      <c r="E361" s="8"/>
      <c r="F361" s="8"/>
      <c r="G361" s="8"/>
      <c r="H361" s="8"/>
      <c r="I361" s="8"/>
    </row>
    <row r="362" spans="2:9" hidden="1">
      <c r="B362" s="8"/>
      <c r="C362" s="8"/>
      <c r="D362" s="8"/>
      <c r="E362" s="8"/>
      <c r="F362" s="8"/>
      <c r="G362" s="8"/>
      <c r="H362" s="8"/>
      <c r="I362" s="8"/>
    </row>
    <row r="363" spans="2:9" hidden="1">
      <c r="B363" s="8"/>
      <c r="C363" s="8"/>
      <c r="D363" s="8"/>
      <c r="E363" s="8"/>
      <c r="F363" s="8"/>
      <c r="G363" s="8"/>
      <c r="H363" s="8"/>
      <c r="I363" s="8"/>
    </row>
    <row r="364" spans="2:9" hidden="1">
      <c r="B364" s="8"/>
      <c r="C364" s="8"/>
      <c r="D364" s="8"/>
      <c r="E364" s="8"/>
      <c r="F364" s="8"/>
      <c r="G364" s="8"/>
      <c r="H364" s="8"/>
      <c r="I364" s="8"/>
    </row>
    <row r="365" spans="2:9" hidden="1">
      <c r="B365" s="8"/>
      <c r="C365" s="8"/>
      <c r="D365" s="8"/>
      <c r="E365" s="8"/>
      <c r="F365" s="8"/>
      <c r="G365" s="8"/>
      <c r="H365" s="8"/>
      <c r="I365" s="8"/>
    </row>
    <row r="366" spans="2:9" hidden="1">
      <c r="B366" s="8"/>
      <c r="C366" s="8"/>
      <c r="D366" s="8"/>
      <c r="E366" s="8"/>
      <c r="F366" s="8"/>
      <c r="G366" s="8"/>
      <c r="H366" s="8"/>
      <c r="I366" s="8"/>
    </row>
    <row r="367" spans="2:9" hidden="1">
      <c r="B367" s="8"/>
      <c r="C367" s="8"/>
      <c r="D367" s="8"/>
      <c r="E367" s="8"/>
      <c r="F367" s="8"/>
      <c r="G367" s="8"/>
      <c r="H367" s="8"/>
      <c r="I367" s="8"/>
    </row>
    <row r="368" spans="2:9" hidden="1">
      <c r="B368" s="8"/>
      <c r="C368" s="8"/>
      <c r="D368" s="8"/>
      <c r="E368" s="8"/>
      <c r="F368" s="8"/>
      <c r="G368" s="8"/>
      <c r="H368" s="8"/>
      <c r="I368" s="8"/>
    </row>
    <row r="369" spans="2:9" hidden="1">
      <c r="B369" s="8"/>
      <c r="C369" s="8"/>
      <c r="D369" s="8"/>
      <c r="E369" s="8"/>
      <c r="F369" s="8"/>
      <c r="G369" s="8"/>
      <c r="H369" s="8"/>
      <c r="I369" s="8"/>
    </row>
    <row r="370" spans="2:9" hidden="1">
      <c r="B370" s="8"/>
      <c r="C370" s="8"/>
      <c r="D370" s="8"/>
      <c r="E370" s="8"/>
      <c r="F370" s="8"/>
      <c r="G370" s="8"/>
      <c r="H370" s="8"/>
      <c r="I370" s="8"/>
    </row>
    <row r="371" spans="2:9" hidden="1">
      <c r="B371" s="8"/>
      <c r="C371" s="8"/>
      <c r="D371" s="8"/>
      <c r="E371" s="8"/>
      <c r="F371" s="8"/>
      <c r="G371" s="8"/>
      <c r="H371" s="8"/>
      <c r="I371" s="8"/>
    </row>
    <row r="372" spans="2:9" hidden="1">
      <c r="B372" s="8"/>
      <c r="C372" s="8"/>
      <c r="D372" s="8"/>
      <c r="E372" s="8"/>
      <c r="F372" s="8"/>
      <c r="G372" s="8"/>
      <c r="H372" s="8"/>
      <c r="I372" s="8"/>
    </row>
    <row r="373" spans="2:9" hidden="1">
      <c r="B373" s="8"/>
      <c r="C373" s="8"/>
      <c r="D373" s="8"/>
      <c r="E373" s="8"/>
      <c r="F373" s="8"/>
      <c r="G373" s="8"/>
      <c r="H373" s="8"/>
      <c r="I373" s="8"/>
    </row>
    <row r="374" spans="2:9" hidden="1">
      <c r="B374" s="8"/>
      <c r="C374" s="8"/>
      <c r="D374" s="8"/>
      <c r="E374" s="8"/>
      <c r="F374" s="8"/>
      <c r="G374" s="8"/>
      <c r="H374" s="8"/>
      <c r="I374" s="8"/>
    </row>
    <row r="375" spans="2:9" hidden="1">
      <c r="B375" s="8"/>
      <c r="C375" s="8"/>
      <c r="D375" s="8"/>
      <c r="E375" s="8"/>
      <c r="F375" s="8"/>
      <c r="G375" s="8"/>
      <c r="H375" s="8"/>
      <c r="I375" s="8"/>
    </row>
    <row r="376" spans="2:9" hidden="1">
      <c r="B376" s="8"/>
      <c r="C376" s="8"/>
      <c r="D376" s="8"/>
      <c r="E376" s="8"/>
      <c r="F376" s="8"/>
      <c r="G376" s="8"/>
      <c r="H376" s="8"/>
      <c r="I376" s="8"/>
    </row>
    <row r="377" spans="2:9" hidden="1">
      <c r="B377" s="8"/>
      <c r="C377" s="8"/>
      <c r="D377" s="8"/>
      <c r="E377" s="8"/>
      <c r="F377" s="8"/>
      <c r="G377" s="8"/>
      <c r="H377" s="8"/>
      <c r="I377" s="8"/>
    </row>
    <row r="378" spans="2:9" hidden="1">
      <c r="B378" s="8"/>
      <c r="C378" s="8"/>
      <c r="D378" s="8"/>
      <c r="E378" s="8"/>
      <c r="F378" s="8"/>
      <c r="G378" s="8"/>
      <c r="H378" s="8"/>
      <c r="I378" s="8"/>
    </row>
    <row r="379" spans="2:9" hidden="1">
      <c r="B379" s="8"/>
      <c r="C379" s="8"/>
      <c r="D379" s="8"/>
      <c r="E379" s="8"/>
      <c r="F379" s="8"/>
      <c r="G379" s="8"/>
      <c r="H379" s="8"/>
      <c r="I379" s="8"/>
    </row>
    <row r="380" spans="2:9" hidden="1">
      <c r="B380" s="8"/>
      <c r="C380" s="8"/>
      <c r="D380" s="8"/>
      <c r="E380" s="8"/>
      <c r="F380" s="8"/>
      <c r="G380" s="8"/>
      <c r="H380" s="8"/>
      <c r="I380" s="8"/>
    </row>
    <row r="381" spans="2:9" hidden="1">
      <c r="B381" s="8"/>
      <c r="C381" s="8"/>
      <c r="D381" s="8"/>
      <c r="E381" s="8"/>
      <c r="F381" s="8"/>
      <c r="G381" s="8"/>
      <c r="H381" s="8"/>
      <c r="I381" s="8"/>
    </row>
    <row r="382" spans="2:9" hidden="1">
      <c r="B382" s="8"/>
      <c r="C382" s="8"/>
      <c r="D382" s="8"/>
      <c r="E382" s="8"/>
      <c r="F382" s="8"/>
      <c r="G382" s="8"/>
      <c r="H382" s="8"/>
      <c r="I382" s="8"/>
    </row>
    <row r="383" spans="2:9" hidden="1">
      <c r="B383" s="8"/>
      <c r="C383" s="8"/>
      <c r="D383" s="8"/>
      <c r="E383" s="8"/>
      <c r="F383" s="8"/>
      <c r="G383" s="8"/>
      <c r="H383" s="8"/>
      <c r="I383" s="8"/>
    </row>
    <row r="384" spans="2:9" hidden="1">
      <c r="B384" s="8"/>
      <c r="C384" s="8"/>
      <c r="D384" s="8"/>
      <c r="E384" s="8"/>
      <c r="F384" s="8"/>
      <c r="G384" s="8"/>
      <c r="H384" s="8"/>
      <c r="I384" s="8"/>
    </row>
    <row r="385" spans="2:9" hidden="1">
      <c r="B385" s="8"/>
      <c r="C385" s="8"/>
      <c r="D385" s="8"/>
      <c r="E385" s="8"/>
      <c r="F385" s="8"/>
      <c r="G385" s="8"/>
      <c r="H385" s="8"/>
      <c r="I385" s="8"/>
    </row>
    <row r="386" spans="2:9" hidden="1">
      <c r="B386" s="8"/>
      <c r="C386" s="8"/>
      <c r="D386" s="8"/>
      <c r="E386" s="8"/>
      <c r="F386" s="8"/>
      <c r="G386" s="8"/>
      <c r="H386" s="8"/>
      <c r="I386" s="8"/>
    </row>
    <row r="387" spans="2:9" hidden="1">
      <c r="B387" s="8"/>
      <c r="C387" s="8"/>
      <c r="D387" s="8"/>
      <c r="E387" s="8"/>
      <c r="F387" s="8"/>
      <c r="G387" s="8"/>
      <c r="H387" s="8"/>
      <c r="I387" s="8"/>
    </row>
    <row r="388" spans="2:9" hidden="1">
      <c r="B388" s="8"/>
      <c r="C388" s="8"/>
      <c r="D388" s="8"/>
      <c r="E388" s="8"/>
      <c r="F388" s="8"/>
      <c r="G388" s="8"/>
      <c r="H388" s="8"/>
      <c r="I388" s="8"/>
    </row>
    <row r="389" spans="2:9" hidden="1">
      <c r="B389" s="8"/>
      <c r="C389" s="8"/>
      <c r="D389" s="8"/>
      <c r="E389" s="8"/>
      <c r="F389" s="8"/>
      <c r="G389" s="8"/>
      <c r="H389" s="8"/>
      <c r="I389" s="8"/>
    </row>
    <row r="390" spans="2:9" hidden="1">
      <c r="B390" s="8"/>
      <c r="C390" s="8"/>
      <c r="D390" s="8"/>
      <c r="E390" s="8"/>
      <c r="F390" s="8"/>
      <c r="G390" s="8"/>
      <c r="H390" s="8"/>
      <c r="I390" s="8"/>
    </row>
    <row r="391" spans="2:9" hidden="1">
      <c r="B391" s="8"/>
      <c r="C391" s="8"/>
      <c r="D391" s="8"/>
      <c r="E391" s="8"/>
      <c r="F391" s="8"/>
      <c r="G391" s="8"/>
      <c r="H391" s="8"/>
      <c r="I391" s="8"/>
    </row>
    <row r="392" spans="2:9" hidden="1">
      <c r="B392" s="8"/>
      <c r="C392" s="8"/>
      <c r="D392" s="8"/>
      <c r="E392" s="8"/>
      <c r="F392" s="8"/>
      <c r="G392" s="8"/>
      <c r="H392" s="8"/>
      <c r="I392" s="8"/>
    </row>
    <row r="393" spans="2:9" hidden="1">
      <c r="B393" s="8"/>
      <c r="C393" s="8"/>
      <c r="D393" s="8"/>
      <c r="E393" s="8"/>
      <c r="F393" s="8"/>
      <c r="G393" s="8"/>
      <c r="H393" s="8"/>
      <c r="I393" s="8"/>
    </row>
    <row r="394" spans="2:9" hidden="1">
      <c r="B394" s="8"/>
      <c r="C394" s="8"/>
      <c r="D394" s="8"/>
      <c r="E394" s="8"/>
      <c r="F394" s="8"/>
      <c r="G394" s="8"/>
      <c r="H394" s="8"/>
      <c r="I394" s="8"/>
    </row>
    <row r="395" spans="2:9" hidden="1">
      <c r="B395" s="8"/>
      <c r="C395" s="8"/>
      <c r="D395" s="8"/>
      <c r="E395" s="8"/>
      <c r="F395" s="8"/>
      <c r="G395" s="8"/>
      <c r="H395" s="8"/>
      <c r="I395" s="8"/>
    </row>
    <row r="396" spans="2:9" hidden="1">
      <c r="B396" s="8"/>
      <c r="C396" s="8"/>
      <c r="D396" s="8"/>
      <c r="E396" s="8"/>
      <c r="F396" s="8"/>
      <c r="G396" s="8"/>
      <c r="H396" s="8"/>
      <c r="I396" s="8"/>
    </row>
    <row r="397" spans="2:9" hidden="1">
      <c r="B397" s="8"/>
      <c r="C397" s="8"/>
      <c r="D397" s="8"/>
      <c r="E397" s="8"/>
      <c r="F397" s="8"/>
      <c r="G397" s="8"/>
      <c r="H397" s="8"/>
      <c r="I397" s="8"/>
    </row>
    <row r="398" spans="2:9" hidden="1">
      <c r="B398" s="8"/>
      <c r="C398" s="8"/>
      <c r="D398" s="8"/>
      <c r="E398" s="8"/>
      <c r="F398" s="8"/>
      <c r="G398" s="8"/>
      <c r="H398" s="8"/>
      <c r="I398" s="8"/>
    </row>
    <row r="399" spans="2:9" hidden="1">
      <c r="B399" s="8"/>
      <c r="C399" s="8"/>
      <c r="D399" s="8"/>
      <c r="E399" s="8"/>
      <c r="F399" s="8"/>
      <c r="G399" s="8"/>
      <c r="H399" s="8"/>
      <c r="I399" s="8"/>
    </row>
    <row r="400" spans="2:9" hidden="1">
      <c r="B400" s="8"/>
      <c r="C400" s="8"/>
      <c r="D400" s="8"/>
      <c r="E400" s="8"/>
      <c r="F400" s="8"/>
      <c r="G400" s="8"/>
      <c r="H400" s="8"/>
      <c r="I400" s="8"/>
    </row>
    <row r="401" spans="2:9" hidden="1">
      <c r="B401" s="8"/>
      <c r="C401" s="8"/>
      <c r="D401" s="8"/>
      <c r="E401" s="8"/>
      <c r="F401" s="8"/>
      <c r="G401" s="8"/>
      <c r="H401" s="8"/>
      <c r="I401" s="8"/>
    </row>
    <row r="402" spans="2:9" hidden="1">
      <c r="B402" s="8"/>
      <c r="C402" s="8"/>
      <c r="D402" s="8"/>
      <c r="E402" s="8"/>
      <c r="F402" s="8"/>
      <c r="G402" s="8"/>
      <c r="H402" s="8"/>
      <c r="I402" s="8"/>
    </row>
    <row r="403" spans="2:9" hidden="1">
      <c r="B403" s="8"/>
      <c r="C403" s="8"/>
      <c r="D403" s="8"/>
      <c r="E403" s="8"/>
      <c r="F403" s="8"/>
      <c r="G403" s="8"/>
      <c r="H403" s="8"/>
      <c r="I403" s="8"/>
    </row>
    <row r="404" spans="2:9" hidden="1">
      <c r="B404" s="8"/>
      <c r="C404" s="8"/>
      <c r="D404" s="8"/>
      <c r="E404" s="8"/>
      <c r="F404" s="8"/>
      <c r="G404" s="8"/>
      <c r="H404" s="8"/>
      <c r="I404" s="8"/>
    </row>
    <row r="405" spans="2:9" hidden="1">
      <c r="B405" s="8"/>
      <c r="C405" s="8"/>
      <c r="D405" s="8"/>
      <c r="E405" s="8"/>
      <c r="F405" s="8"/>
      <c r="G405" s="8"/>
      <c r="H405" s="8"/>
      <c r="I405" s="8"/>
    </row>
    <row r="406" spans="2:9" hidden="1">
      <c r="B406" s="8"/>
      <c r="C406" s="8"/>
      <c r="D406" s="8"/>
      <c r="E406" s="8"/>
      <c r="F406" s="8"/>
      <c r="G406" s="8"/>
      <c r="H406" s="8"/>
      <c r="I406" s="8"/>
    </row>
    <row r="407" spans="2:9" hidden="1">
      <c r="B407" s="8"/>
      <c r="C407" s="8"/>
      <c r="D407" s="8"/>
      <c r="E407" s="8"/>
      <c r="F407" s="8"/>
      <c r="G407" s="8"/>
      <c r="H407" s="8"/>
      <c r="I407" s="8"/>
    </row>
    <row r="408" spans="2:9" hidden="1">
      <c r="B408" s="8"/>
      <c r="C408" s="8"/>
      <c r="D408" s="8"/>
      <c r="E408" s="8"/>
      <c r="F408" s="8"/>
      <c r="G408" s="8"/>
      <c r="H408" s="8"/>
      <c r="I408" s="8"/>
    </row>
    <row r="409" spans="2:9" hidden="1">
      <c r="B409" s="8"/>
      <c r="C409" s="8"/>
      <c r="D409" s="8"/>
      <c r="E409" s="8"/>
      <c r="F409" s="8"/>
      <c r="G409" s="8"/>
      <c r="H409" s="8"/>
      <c r="I409" s="8"/>
    </row>
    <row r="410" spans="2:9" hidden="1">
      <c r="B410" s="8"/>
      <c r="C410" s="8"/>
      <c r="D410" s="8"/>
      <c r="E410" s="8"/>
      <c r="F410" s="8"/>
      <c r="G410" s="8"/>
      <c r="H410" s="8"/>
      <c r="I410" s="8"/>
    </row>
    <row r="411" spans="2:9" hidden="1">
      <c r="B411" s="8"/>
      <c r="C411" s="8"/>
      <c r="D411" s="8"/>
      <c r="E411" s="8"/>
      <c r="F411" s="8"/>
      <c r="G411" s="8"/>
      <c r="H411" s="8"/>
      <c r="I411" s="8"/>
    </row>
    <row r="412" spans="2:9" hidden="1">
      <c r="B412" s="8"/>
      <c r="C412" s="8"/>
      <c r="D412" s="8"/>
      <c r="E412" s="8"/>
      <c r="F412" s="8"/>
      <c r="G412" s="8"/>
      <c r="H412" s="8"/>
      <c r="I412" s="8"/>
    </row>
    <row r="413" spans="2:9" hidden="1">
      <c r="B413" s="8"/>
      <c r="C413" s="8"/>
      <c r="D413" s="8"/>
      <c r="E413" s="8"/>
      <c r="F413" s="8"/>
      <c r="G413" s="8"/>
      <c r="H413" s="8"/>
      <c r="I413" s="8"/>
    </row>
    <row r="414" spans="2:9" hidden="1">
      <c r="B414" s="8"/>
      <c r="C414" s="8"/>
      <c r="D414" s="8"/>
      <c r="E414" s="8"/>
      <c r="F414" s="8"/>
      <c r="G414" s="8"/>
      <c r="H414" s="8"/>
      <c r="I414" s="8"/>
    </row>
    <row r="415" spans="2:9" hidden="1">
      <c r="B415" s="8"/>
      <c r="C415" s="8"/>
      <c r="D415" s="8"/>
      <c r="E415" s="8"/>
      <c r="F415" s="8"/>
      <c r="G415" s="8"/>
      <c r="H415" s="8"/>
      <c r="I415" s="8"/>
    </row>
    <row r="416" spans="2:9" hidden="1">
      <c r="B416" s="8"/>
      <c r="C416" s="8"/>
      <c r="D416" s="8"/>
      <c r="E416" s="8"/>
      <c r="F416" s="8"/>
      <c r="G416" s="8"/>
      <c r="H416" s="8"/>
      <c r="I416" s="8"/>
    </row>
    <row r="417" spans="2:9" hidden="1">
      <c r="B417" s="8"/>
      <c r="C417" s="8"/>
      <c r="D417" s="8"/>
      <c r="E417" s="8"/>
      <c r="F417" s="8"/>
      <c r="G417" s="8"/>
      <c r="H417" s="8"/>
      <c r="I417" s="8"/>
    </row>
    <row r="418" spans="2:9" hidden="1">
      <c r="B418" s="8"/>
      <c r="C418" s="8"/>
      <c r="D418" s="8"/>
      <c r="E418" s="8"/>
      <c r="F418" s="8"/>
      <c r="G418" s="8"/>
      <c r="H418" s="8"/>
      <c r="I418" s="8"/>
    </row>
    <row r="419" spans="2:9" hidden="1">
      <c r="B419" s="8"/>
      <c r="C419" s="8"/>
      <c r="D419" s="8"/>
      <c r="E419" s="8"/>
      <c r="F419" s="8"/>
      <c r="G419" s="8"/>
      <c r="H419" s="8"/>
      <c r="I419" s="8"/>
    </row>
    <row r="420" spans="2:9" hidden="1">
      <c r="B420" s="8"/>
      <c r="C420" s="8"/>
      <c r="D420" s="8"/>
      <c r="E420" s="8"/>
      <c r="F420" s="8"/>
      <c r="G420" s="8"/>
      <c r="H420" s="8"/>
      <c r="I420" s="8"/>
    </row>
    <row r="421" spans="2:9" hidden="1">
      <c r="B421" s="8"/>
      <c r="C421" s="8"/>
      <c r="D421" s="8"/>
      <c r="E421" s="8"/>
      <c r="F421" s="8"/>
      <c r="G421" s="8"/>
      <c r="H421" s="8"/>
      <c r="I421" s="8"/>
    </row>
    <row r="422" spans="2:9" hidden="1">
      <c r="B422" s="8"/>
      <c r="C422" s="8"/>
      <c r="D422" s="8"/>
      <c r="E422" s="8"/>
      <c r="F422" s="8"/>
      <c r="G422" s="8"/>
      <c r="H422" s="8"/>
      <c r="I422" s="8"/>
    </row>
    <row r="423" spans="2:9" hidden="1">
      <c r="B423" s="8"/>
      <c r="C423" s="8"/>
      <c r="D423" s="8"/>
      <c r="E423" s="8"/>
      <c r="F423" s="8"/>
      <c r="G423" s="8"/>
      <c r="H423" s="8"/>
      <c r="I423" s="8"/>
    </row>
    <row r="424" spans="2:9" hidden="1">
      <c r="B424" s="8"/>
      <c r="C424" s="8"/>
      <c r="D424" s="8"/>
      <c r="E424" s="8"/>
      <c r="F424" s="8"/>
      <c r="G424" s="8"/>
      <c r="H424" s="8"/>
      <c r="I424" s="8"/>
    </row>
    <row r="425" spans="2:9" hidden="1">
      <c r="B425" s="8"/>
      <c r="C425" s="8"/>
      <c r="D425" s="8"/>
      <c r="E425" s="8"/>
      <c r="F425" s="8"/>
      <c r="G425" s="8"/>
      <c r="H425" s="8"/>
      <c r="I425" s="8"/>
    </row>
    <row r="426" spans="2:9" hidden="1">
      <c r="B426" s="8"/>
      <c r="C426" s="8"/>
      <c r="D426" s="8"/>
      <c r="E426" s="8"/>
      <c r="F426" s="8"/>
      <c r="G426" s="8"/>
      <c r="H426" s="8"/>
      <c r="I426" s="8"/>
    </row>
    <row r="427" spans="2:9" hidden="1">
      <c r="B427" s="8"/>
      <c r="C427" s="8"/>
      <c r="D427" s="8"/>
      <c r="E427" s="8"/>
      <c r="F427" s="8"/>
      <c r="G427" s="8"/>
      <c r="H427" s="8"/>
      <c r="I427" s="8"/>
    </row>
    <row r="428" spans="2:9" hidden="1">
      <c r="B428" s="8"/>
      <c r="C428" s="8"/>
      <c r="D428" s="8"/>
      <c r="E428" s="8"/>
      <c r="F428" s="8"/>
      <c r="G428" s="8"/>
      <c r="H428" s="8"/>
      <c r="I428" s="8"/>
    </row>
    <row r="429" spans="2:9" hidden="1">
      <c r="B429" s="8"/>
      <c r="C429" s="8"/>
      <c r="D429" s="8"/>
      <c r="E429" s="8"/>
      <c r="F429" s="8"/>
      <c r="G429" s="8"/>
      <c r="H429" s="8"/>
      <c r="I429" s="8"/>
    </row>
    <row r="430" spans="2:9" hidden="1">
      <c r="B430" s="8"/>
      <c r="C430" s="8"/>
      <c r="D430" s="8"/>
      <c r="E430" s="8"/>
      <c r="F430" s="8"/>
      <c r="G430" s="8"/>
      <c r="H430" s="8"/>
      <c r="I430" s="8"/>
    </row>
    <row r="431" spans="2:9" hidden="1">
      <c r="B431" s="8"/>
      <c r="C431" s="8"/>
      <c r="D431" s="8"/>
      <c r="E431" s="8"/>
      <c r="F431" s="8"/>
      <c r="G431" s="8"/>
      <c r="H431" s="8"/>
      <c r="I431" s="8"/>
    </row>
    <row r="432" spans="2:9" hidden="1">
      <c r="B432" s="8"/>
      <c r="C432" s="8"/>
      <c r="D432" s="8"/>
      <c r="E432" s="8"/>
      <c r="F432" s="8"/>
      <c r="G432" s="8"/>
      <c r="H432" s="8"/>
      <c r="I432" s="8"/>
    </row>
    <row r="433" spans="2:9" hidden="1">
      <c r="B433" s="8"/>
      <c r="C433" s="8"/>
      <c r="D433" s="8"/>
      <c r="E433" s="8"/>
      <c r="F433" s="8"/>
      <c r="G433" s="8"/>
      <c r="H433" s="8"/>
      <c r="I433" s="8"/>
    </row>
    <row r="434" spans="2:9" hidden="1">
      <c r="B434" s="8"/>
      <c r="C434" s="8"/>
      <c r="D434" s="8"/>
      <c r="E434" s="8"/>
      <c r="F434" s="8"/>
      <c r="G434" s="8"/>
      <c r="H434" s="8"/>
      <c r="I434" s="8"/>
    </row>
    <row r="435" spans="2:9" hidden="1">
      <c r="B435" s="8"/>
      <c r="C435" s="8"/>
      <c r="D435" s="8"/>
      <c r="E435" s="8"/>
      <c r="F435" s="8"/>
      <c r="G435" s="8"/>
      <c r="H435" s="8"/>
      <c r="I435" s="8"/>
    </row>
    <row r="436" spans="2:9" hidden="1">
      <c r="B436" s="8"/>
      <c r="C436" s="8"/>
      <c r="D436" s="8"/>
      <c r="E436" s="8"/>
      <c r="F436" s="8"/>
      <c r="G436" s="8"/>
      <c r="H436" s="8"/>
      <c r="I436" s="8"/>
    </row>
    <row r="437" spans="2:9" hidden="1">
      <c r="B437" s="8"/>
      <c r="C437" s="8"/>
      <c r="D437" s="8"/>
      <c r="E437" s="8"/>
      <c r="F437" s="8"/>
      <c r="G437" s="8"/>
      <c r="H437" s="8"/>
      <c r="I437" s="8"/>
    </row>
    <row r="438" spans="2:9" hidden="1">
      <c r="B438" s="8"/>
      <c r="C438" s="8"/>
      <c r="D438" s="8"/>
      <c r="E438" s="8"/>
      <c r="F438" s="8"/>
      <c r="G438" s="8"/>
      <c r="H438" s="8"/>
      <c r="I438" s="8"/>
    </row>
    <row r="439" spans="2:9" hidden="1">
      <c r="B439" s="8"/>
      <c r="C439" s="8"/>
      <c r="D439" s="8"/>
      <c r="E439" s="8"/>
      <c r="F439" s="8"/>
      <c r="G439" s="8"/>
      <c r="H439" s="8"/>
      <c r="I439" s="8"/>
    </row>
    <row r="440" spans="2:9" hidden="1">
      <c r="B440" s="8"/>
      <c r="C440" s="8"/>
      <c r="D440" s="8"/>
      <c r="E440" s="8"/>
      <c r="F440" s="8"/>
      <c r="G440" s="8"/>
      <c r="H440" s="8"/>
      <c r="I440" s="8"/>
    </row>
    <row r="441" spans="2:9" hidden="1">
      <c r="B441" s="8"/>
      <c r="C441" s="8"/>
      <c r="D441" s="8"/>
      <c r="E441" s="8"/>
      <c r="F441" s="8"/>
      <c r="G441" s="8"/>
      <c r="H441" s="8"/>
      <c r="I441" s="8"/>
    </row>
    <row r="442" spans="2:9" hidden="1">
      <c r="B442" s="8"/>
      <c r="C442" s="8"/>
      <c r="D442" s="8"/>
      <c r="E442" s="8"/>
      <c r="F442" s="8"/>
      <c r="G442" s="8"/>
      <c r="H442" s="8"/>
      <c r="I442" s="8"/>
    </row>
    <row r="443" spans="2:9" hidden="1">
      <c r="B443" s="8"/>
      <c r="C443" s="8"/>
      <c r="D443" s="8"/>
      <c r="E443" s="8"/>
      <c r="F443" s="8"/>
      <c r="G443" s="8"/>
      <c r="H443" s="8"/>
      <c r="I443" s="8"/>
    </row>
    <row r="444" spans="2:9" hidden="1">
      <c r="B444" s="8"/>
      <c r="C444" s="8"/>
      <c r="D444" s="8"/>
      <c r="E444" s="8"/>
      <c r="F444" s="8"/>
      <c r="G444" s="8"/>
      <c r="H444" s="8"/>
      <c r="I444" s="8"/>
    </row>
    <row r="445" spans="2:9" hidden="1">
      <c r="B445" s="8"/>
      <c r="C445" s="8"/>
      <c r="D445" s="8"/>
      <c r="E445" s="8"/>
      <c r="F445" s="8"/>
      <c r="G445" s="8"/>
      <c r="H445" s="8"/>
      <c r="I445" s="8"/>
    </row>
    <row r="446" spans="2:9" hidden="1">
      <c r="B446" s="8"/>
      <c r="C446" s="8"/>
      <c r="D446" s="8"/>
      <c r="E446" s="8"/>
      <c r="F446" s="8"/>
      <c r="G446" s="8"/>
      <c r="H446" s="8"/>
      <c r="I446" s="8"/>
    </row>
    <row r="447" spans="2:9" hidden="1">
      <c r="B447" s="8"/>
      <c r="C447" s="8"/>
      <c r="D447" s="8"/>
      <c r="E447" s="8"/>
      <c r="F447" s="8"/>
      <c r="G447" s="8"/>
      <c r="H447" s="8"/>
      <c r="I447" s="8"/>
    </row>
    <row r="448" spans="2:9" hidden="1">
      <c r="B448" s="8"/>
      <c r="C448" s="8"/>
      <c r="D448" s="8"/>
      <c r="E448" s="8"/>
      <c r="F448" s="8"/>
      <c r="G448" s="8"/>
      <c r="H448" s="8"/>
      <c r="I448" s="8"/>
    </row>
    <row r="449" spans="2:9" hidden="1">
      <c r="B449" s="8"/>
      <c r="C449" s="8"/>
      <c r="D449" s="8"/>
      <c r="E449" s="8"/>
      <c r="F449" s="8"/>
      <c r="G449" s="8"/>
      <c r="H449" s="8"/>
      <c r="I449" s="8"/>
    </row>
    <row r="450" spans="2:9" hidden="1">
      <c r="B450" s="8"/>
      <c r="C450" s="8"/>
      <c r="D450" s="8"/>
      <c r="E450" s="8"/>
      <c r="F450" s="8"/>
      <c r="G450" s="8"/>
      <c r="H450" s="8"/>
      <c r="I450" s="8"/>
    </row>
    <row r="451" spans="2:9" hidden="1">
      <c r="B451" s="8"/>
      <c r="C451" s="8"/>
      <c r="D451" s="8"/>
      <c r="E451" s="8"/>
      <c r="F451" s="8"/>
      <c r="G451" s="8"/>
      <c r="H451" s="8"/>
      <c r="I451" s="8"/>
    </row>
    <row r="452" spans="2:9" hidden="1">
      <c r="B452" s="8"/>
      <c r="C452" s="8"/>
      <c r="D452" s="8"/>
      <c r="E452" s="8"/>
      <c r="F452" s="8"/>
      <c r="G452" s="8"/>
      <c r="H452" s="8"/>
      <c r="I452" s="8"/>
    </row>
    <row r="453" spans="2:9" hidden="1">
      <c r="B453" s="8"/>
      <c r="C453" s="8"/>
      <c r="D453" s="8"/>
      <c r="E453" s="8"/>
      <c r="F453" s="8"/>
      <c r="G453" s="8"/>
      <c r="H453" s="8"/>
      <c r="I453" s="8"/>
    </row>
    <row r="454" spans="2:9" hidden="1">
      <c r="B454" s="8"/>
      <c r="C454" s="8"/>
      <c r="D454" s="8"/>
      <c r="E454" s="8"/>
      <c r="F454" s="8"/>
      <c r="G454" s="8"/>
      <c r="H454" s="8"/>
      <c r="I454" s="8"/>
    </row>
    <row r="455" spans="2:9" hidden="1">
      <c r="B455" s="8"/>
      <c r="C455" s="8"/>
      <c r="D455" s="8"/>
      <c r="E455" s="8"/>
      <c r="F455" s="8"/>
      <c r="G455" s="8"/>
      <c r="H455" s="8"/>
      <c r="I455" s="8"/>
    </row>
    <row r="456" spans="2:9" hidden="1">
      <c r="B456" s="8"/>
      <c r="C456" s="8"/>
      <c r="D456" s="8"/>
      <c r="E456" s="8"/>
      <c r="F456" s="8"/>
      <c r="G456" s="8"/>
      <c r="H456" s="8"/>
      <c r="I456" s="8"/>
    </row>
    <row r="457" spans="2:9" hidden="1">
      <c r="B457" s="8"/>
      <c r="C457" s="8"/>
      <c r="D457" s="8"/>
      <c r="E457" s="8"/>
      <c r="F457" s="8"/>
      <c r="G457" s="8"/>
      <c r="H457" s="8"/>
      <c r="I457" s="8"/>
    </row>
    <row r="458" spans="2:9" hidden="1">
      <c r="B458" s="8"/>
      <c r="C458" s="8"/>
      <c r="D458" s="8"/>
      <c r="E458" s="8"/>
      <c r="F458" s="8"/>
      <c r="G458" s="8"/>
      <c r="H458" s="8"/>
      <c r="I458" s="8"/>
    </row>
    <row r="459" spans="2:9" hidden="1">
      <c r="B459" s="8"/>
      <c r="C459" s="8"/>
      <c r="D459" s="8"/>
      <c r="E459" s="8"/>
      <c r="F459" s="8"/>
      <c r="G459" s="8"/>
      <c r="H459" s="8"/>
      <c r="I459" s="8"/>
    </row>
    <row r="460" spans="2:9" hidden="1">
      <c r="B460" s="8"/>
      <c r="C460" s="8"/>
      <c r="D460" s="8"/>
      <c r="E460" s="8"/>
      <c r="F460" s="8"/>
      <c r="G460" s="8"/>
      <c r="H460" s="8"/>
      <c r="I460" s="8"/>
    </row>
    <row r="461" spans="2:9" hidden="1">
      <c r="B461" s="8"/>
      <c r="C461" s="8"/>
      <c r="D461" s="8"/>
      <c r="E461" s="8"/>
      <c r="F461" s="8"/>
      <c r="G461" s="8"/>
      <c r="H461" s="8"/>
      <c r="I461" s="8"/>
    </row>
    <row r="462" spans="2:9" hidden="1">
      <c r="B462" s="8"/>
      <c r="C462" s="8"/>
      <c r="D462" s="8"/>
      <c r="E462" s="8"/>
      <c r="F462" s="8"/>
      <c r="G462" s="8"/>
      <c r="H462" s="8"/>
      <c r="I462" s="8"/>
    </row>
    <row r="463" spans="2:9" hidden="1">
      <c r="B463" s="8"/>
      <c r="C463" s="8"/>
      <c r="D463" s="8"/>
      <c r="E463" s="8"/>
      <c r="F463" s="8"/>
      <c r="G463" s="8"/>
      <c r="H463" s="8"/>
      <c r="I463" s="8"/>
    </row>
    <row r="464" spans="2:9" hidden="1">
      <c r="B464" s="8"/>
      <c r="C464" s="8"/>
      <c r="D464" s="8"/>
      <c r="E464" s="8"/>
      <c r="F464" s="8"/>
      <c r="G464" s="8"/>
      <c r="H464" s="8"/>
      <c r="I464" s="8"/>
    </row>
    <row r="465" spans="2:9" hidden="1">
      <c r="B465" s="8"/>
      <c r="C465" s="8"/>
      <c r="D465" s="8"/>
      <c r="E465" s="8"/>
      <c r="F465" s="8"/>
      <c r="G465" s="8"/>
      <c r="H465" s="8"/>
      <c r="I465" s="8"/>
    </row>
    <row r="466" spans="2:9" hidden="1">
      <c r="B466" s="8"/>
      <c r="C466" s="8"/>
      <c r="D466" s="8"/>
      <c r="E466" s="8"/>
      <c r="F466" s="8"/>
      <c r="G466" s="8"/>
      <c r="H466" s="8"/>
      <c r="I466" s="8"/>
    </row>
    <row r="467" spans="2:9" hidden="1">
      <c r="B467" s="8"/>
      <c r="C467" s="8"/>
      <c r="D467" s="8"/>
      <c r="E467" s="8"/>
      <c r="F467" s="8"/>
      <c r="G467" s="8"/>
      <c r="H467" s="8"/>
      <c r="I467" s="8"/>
    </row>
    <row r="468" spans="2:9" hidden="1">
      <c r="B468" s="8"/>
      <c r="C468" s="8"/>
      <c r="D468" s="8"/>
      <c r="E468" s="8"/>
      <c r="F468" s="8"/>
      <c r="G468" s="8"/>
      <c r="H468" s="8"/>
      <c r="I468" s="8"/>
    </row>
    <row r="469" spans="2:9" hidden="1">
      <c r="B469" s="8"/>
      <c r="C469" s="8"/>
      <c r="D469" s="8"/>
      <c r="E469" s="8"/>
      <c r="F469" s="8"/>
      <c r="G469" s="8"/>
      <c r="H469" s="8"/>
      <c r="I469" s="8"/>
    </row>
    <row r="470" spans="2:9" hidden="1">
      <c r="B470" s="8"/>
      <c r="C470" s="8"/>
      <c r="D470" s="8"/>
      <c r="E470" s="8"/>
      <c r="F470" s="8"/>
      <c r="G470" s="8"/>
      <c r="H470" s="8"/>
      <c r="I470" s="8"/>
    </row>
    <row r="471" spans="2:9" hidden="1">
      <c r="B471" s="8"/>
      <c r="C471" s="8"/>
      <c r="D471" s="8"/>
      <c r="E471" s="8"/>
      <c r="F471" s="8"/>
      <c r="G471" s="8"/>
      <c r="H471" s="8"/>
      <c r="I471" s="8"/>
    </row>
    <row r="472" spans="2:9" hidden="1">
      <c r="B472" s="8"/>
      <c r="C472" s="8"/>
      <c r="D472" s="8"/>
      <c r="E472" s="8"/>
      <c r="F472" s="8"/>
      <c r="G472" s="8"/>
      <c r="H472" s="8"/>
      <c r="I472" s="8"/>
    </row>
    <row r="473" spans="2:9" hidden="1">
      <c r="B473" s="8"/>
      <c r="C473" s="8"/>
      <c r="D473" s="8"/>
      <c r="E473" s="8"/>
      <c r="F473" s="8"/>
      <c r="G473" s="8"/>
      <c r="H473" s="8"/>
      <c r="I473" s="8"/>
    </row>
    <row r="474" spans="2:9" hidden="1">
      <c r="B474" s="8"/>
      <c r="C474" s="8"/>
      <c r="D474" s="8"/>
      <c r="E474" s="8"/>
      <c r="F474" s="8"/>
      <c r="G474" s="8"/>
      <c r="H474" s="8"/>
      <c r="I474" s="8"/>
    </row>
    <row r="475" spans="2:9" hidden="1">
      <c r="B475" s="8"/>
      <c r="C475" s="8"/>
      <c r="D475" s="8"/>
      <c r="E475" s="8"/>
      <c r="F475" s="8"/>
      <c r="G475" s="8"/>
      <c r="H475" s="8"/>
      <c r="I475" s="8"/>
    </row>
    <row r="476" spans="2:9" hidden="1">
      <c r="B476" s="8"/>
      <c r="C476" s="8"/>
      <c r="D476" s="8"/>
      <c r="E476" s="8"/>
      <c r="F476" s="8"/>
      <c r="G476" s="8"/>
      <c r="H476" s="8"/>
      <c r="I476" s="8"/>
    </row>
    <row r="477" spans="2:9" hidden="1">
      <c r="B477" s="8"/>
      <c r="C477" s="8"/>
      <c r="D477" s="8"/>
      <c r="E477" s="8"/>
      <c r="F477" s="8"/>
      <c r="G477" s="8"/>
      <c r="H477" s="8"/>
      <c r="I477" s="8"/>
    </row>
    <row r="478" spans="2:9" hidden="1">
      <c r="B478" s="8"/>
      <c r="C478" s="8"/>
      <c r="D478" s="8"/>
      <c r="E478" s="8"/>
      <c r="F478" s="8"/>
      <c r="G478" s="8"/>
      <c r="H478" s="8"/>
      <c r="I478" s="8"/>
    </row>
    <row r="479" spans="2:9" hidden="1">
      <c r="B479" s="8"/>
      <c r="C479" s="8"/>
      <c r="D479" s="8"/>
      <c r="E479" s="8"/>
      <c r="F479" s="8"/>
      <c r="G479" s="8"/>
      <c r="H479" s="8"/>
      <c r="I479" s="8"/>
    </row>
    <row r="480" spans="2:9" hidden="1">
      <c r="B480" s="8"/>
      <c r="C480" s="8"/>
      <c r="D480" s="8"/>
      <c r="E480" s="8"/>
      <c r="F480" s="8"/>
      <c r="G480" s="8"/>
      <c r="H480" s="8"/>
      <c r="I480" s="8"/>
    </row>
    <row r="481" spans="2:9" hidden="1">
      <c r="B481" s="8"/>
      <c r="C481" s="8"/>
      <c r="D481" s="8"/>
      <c r="E481" s="8"/>
      <c r="F481" s="8"/>
      <c r="G481" s="8"/>
      <c r="H481" s="8"/>
      <c r="I481" s="8"/>
    </row>
    <row r="482" spans="2:9" hidden="1">
      <c r="B482" s="8"/>
      <c r="C482" s="8"/>
      <c r="D482" s="8"/>
      <c r="E482" s="8"/>
      <c r="F482" s="8"/>
      <c r="G482" s="8"/>
      <c r="H482" s="8"/>
      <c r="I482" s="8"/>
    </row>
    <row r="483" spans="2:9" hidden="1">
      <c r="B483" s="8"/>
      <c r="C483" s="8"/>
      <c r="D483" s="8"/>
      <c r="E483" s="8"/>
      <c r="F483" s="8"/>
      <c r="G483" s="8"/>
      <c r="H483" s="8"/>
      <c r="I483" s="8"/>
    </row>
    <row r="484" spans="2:9" hidden="1">
      <c r="B484" s="8"/>
      <c r="C484" s="8"/>
      <c r="D484" s="8"/>
      <c r="E484" s="8"/>
      <c r="F484" s="8"/>
      <c r="G484" s="8"/>
      <c r="H484" s="8"/>
      <c r="I484" s="8"/>
    </row>
    <row r="485" spans="2:9" hidden="1">
      <c r="B485" s="8"/>
      <c r="C485" s="8"/>
      <c r="D485" s="8"/>
      <c r="E485" s="8"/>
      <c r="F485" s="8"/>
      <c r="G485" s="8"/>
      <c r="H485" s="8"/>
      <c r="I485" s="8"/>
    </row>
    <row r="486" spans="2:9" hidden="1">
      <c r="B486" s="8"/>
      <c r="C486" s="8"/>
      <c r="D486" s="8"/>
      <c r="E486" s="8"/>
      <c r="F486" s="8"/>
      <c r="G486" s="8"/>
      <c r="H486" s="8"/>
      <c r="I486" s="8"/>
    </row>
    <row r="487" spans="2:9" hidden="1">
      <c r="B487" s="8"/>
      <c r="C487" s="8"/>
      <c r="D487" s="8"/>
      <c r="E487" s="8"/>
      <c r="F487" s="8"/>
      <c r="G487" s="8"/>
      <c r="H487" s="8"/>
      <c r="I487" s="8"/>
    </row>
    <row r="488" spans="2:9" hidden="1">
      <c r="B488" s="8"/>
      <c r="C488" s="8"/>
      <c r="D488" s="8"/>
      <c r="E488" s="8"/>
      <c r="F488" s="8"/>
      <c r="G488" s="8"/>
      <c r="H488" s="8"/>
      <c r="I488" s="8"/>
    </row>
    <row r="489" spans="2:9" hidden="1">
      <c r="B489" s="8"/>
      <c r="C489" s="8"/>
      <c r="D489" s="8"/>
      <c r="E489" s="8"/>
      <c r="F489" s="8"/>
      <c r="G489" s="8"/>
      <c r="H489" s="8"/>
      <c r="I489" s="8"/>
    </row>
    <row r="490" spans="2:9" hidden="1">
      <c r="B490" s="8"/>
      <c r="C490" s="8"/>
      <c r="D490" s="8"/>
      <c r="E490" s="8"/>
      <c r="F490" s="8"/>
      <c r="G490" s="8"/>
      <c r="H490" s="8"/>
      <c r="I490" s="8"/>
    </row>
    <row r="491" spans="2:9" hidden="1">
      <c r="B491" s="8"/>
      <c r="C491" s="8"/>
      <c r="D491" s="8"/>
      <c r="E491" s="8"/>
      <c r="F491" s="8"/>
      <c r="G491" s="8"/>
      <c r="H491" s="8"/>
      <c r="I491" s="8"/>
    </row>
    <row r="492" spans="2:9" hidden="1">
      <c r="B492" s="8"/>
      <c r="C492" s="8"/>
      <c r="D492" s="8"/>
      <c r="E492" s="8"/>
      <c r="F492" s="8"/>
      <c r="G492" s="8"/>
      <c r="H492" s="8"/>
      <c r="I492" s="8"/>
    </row>
    <row r="493" spans="2:9" hidden="1">
      <c r="B493" s="8"/>
      <c r="C493" s="8"/>
      <c r="D493" s="8"/>
      <c r="E493" s="8"/>
      <c r="F493" s="8"/>
      <c r="G493" s="8"/>
      <c r="H493" s="8"/>
      <c r="I493" s="8"/>
    </row>
    <row r="494" spans="2:9" hidden="1">
      <c r="B494" s="8"/>
      <c r="C494" s="8"/>
      <c r="D494" s="8"/>
      <c r="E494" s="8"/>
      <c r="F494" s="8"/>
      <c r="G494" s="8"/>
      <c r="H494" s="8"/>
      <c r="I494" s="8"/>
    </row>
    <row r="495" spans="2:9" hidden="1">
      <c r="B495" s="8"/>
      <c r="C495" s="8"/>
      <c r="D495" s="8"/>
      <c r="E495" s="8"/>
      <c r="F495" s="8"/>
      <c r="G495" s="8"/>
      <c r="H495" s="8"/>
      <c r="I495" s="8"/>
    </row>
    <row r="496" spans="2:9" hidden="1">
      <c r="B496" s="8"/>
      <c r="C496" s="8"/>
      <c r="D496" s="8"/>
      <c r="E496" s="8"/>
      <c r="F496" s="8"/>
      <c r="G496" s="8"/>
      <c r="H496" s="8"/>
      <c r="I496" s="8"/>
    </row>
    <row r="497" spans="2:9" hidden="1">
      <c r="B497" s="8"/>
      <c r="C497" s="8"/>
      <c r="D497" s="8"/>
      <c r="E497" s="8"/>
      <c r="F497" s="8"/>
      <c r="G497" s="8"/>
      <c r="H497" s="8"/>
      <c r="I497" s="8"/>
    </row>
    <row r="498" spans="2:9" hidden="1">
      <c r="B498" s="8"/>
      <c r="C498" s="8"/>
      <c r="D498" s="8"/>
      <c r="E498" s="8"/>
      <c r="F498" s="8"/>
      <c r="G498" s="8"/>
      <c r="H498" s="8"/>
      <c r="I498" s="8"/>
    </row>
    <row r="499" spans="2:9" hidden="1">
      <c r="B499" s="8"/>
      <c r="C499" s="8"/>
      <c r="D499" s="8"/>
      <c r="E499" s="8"/>
      <c r="F499" s="8"/>
      <c r="G499" s="8"/>
      <c r="H499" s="8"/>
      <c r="I499" s="8"/>
    </row>
    <row r="500" spans="2:9" hidden="1">
      <c r="B500" s="8"/>
      <c r="C500" s="8"/>
      <c r="D500" s="8"/>
      <c r="E500" s="8"/>
      <c r="F500" s="8"/>
      <c r="G500" s="8"/>
      <c r="H500" s="8"/>
      <c r="I500" s="8"/>
    </row>
    <row r="501" spans="2:9" hidden="1">
      <c r="B501" s="8"/>
      <c r="C501" s="8"/>
      <c r="D501" s="8"/>
      <c r="E501" s="8"/>
      <c r="F501" s="8"/>
      <c r="G501" s="8"/>
      <c r="H501" s="8"/>
      <c r="I501" s="8"/>
    </row>
    <row r="502" spans="2:9" hidden="1">
      <c r="B502" s="8"/>
      <c r="C502" s="8"/>
      <c r="D502" s="8"/>
      <c r="E502" s="8"/>
      <c r="F502" s="8"/>
      <c r="G502" s="8"/>
      <c r="H502" s="8"/>
      <c r="I502" s="8"/>
    </row>
    <row r="503" spans="2:9" hidden="1">
      <c r="B503" s="8"/>
      <c r="C503" s="8"/>
      <c r="D503" s="8"/>
      <c r="E503" s="8"/>
      <c r="F503" s="8"/>
      <c r="G503" s="8"/>
      <c r="H503" s="8"/>
      <c r="I503" s="8"/>
    </row>
    <row r="504" spans="2:9" hidden="1">
      <c r="B504" s="8"/>
      <c r="C504" s="8"/>
      <c r="D504" s="8"/>
      <c r="E504" s="8"/>
      <c r="F504" s="8"/>
      <c r="G504" s="8"/>
      <c r="H504" s="8"/>
      <c r="I504" s="8"/>
    </row>
    <row r="505" spans="2:9" hidden="1">
      <c r="B505" s="8"/>
      <c r="C505" s="8"/>
      <c r="D505" s="8"/>
      <c r="E505" s="8"/>
      <c r="F505" s="8"/>
      <c r="G505" s="8"/>
      <c r="H505" s="8"/>
      <c r="I505" s="8"/>
    </row>
    <row r="506" spans="2:9" hidden="1">
      <c r="B506" s="8"/>
      <c r="C506" s="8"/>
      <c r="D506" s="8"/>
      <c r="E506" s="8"/>
      <c r="F506" s="8"/>
      <c r="G506" s="8"/>
      <c r="H506" s="8"/>
      <c r="I506" s="8"/>
    </row>
    <row r="507" spans="2:9" hidden="1">
      <c r="B507" s="8"/>
      <c r="C507" s="8"/>
      <c r="D507" s="8"/>
      <c r="E507" s="8"/>
      <c r="F507" s="8"/>
      <c r="G507" s="8"/>
      <c r="H507" s="8"/>
      <c r="I507" s="8"/>
    </row>
    <row r="508" spans="2:9" hidden="1">
      <c r="B508" s="8"/>
      <c r="C508" s="8"/>
      <c r="D508" s="8"/>
      <c r="E508" s="8"/>
      <c r="F508" s="8"/>
      <c r="G508" s="8"/>
      <c r="H508" s="8"/>
      <c r="I508" s="8"/>
    </row>
    <row r="509" spans="2:9" hidden="1">
      <c r="B509" s="8"/>
      <c r="C509" s="8"/>
      <c r="D509" s="8"/>
      <c r="E509" s="8"/>
      <c r="F509" s="8"/>
      <c r="G509" s="8"/>
      <c r="H509" s="8"/>
      <c r="I509" s="8"/>
    </row>
    <row r="510" spans="2:9" hidden="1">
      <c r="B510" s="8"/>
      <c r="C510" s="8"/>
      <c r="D510" s="8"/>
      <c r="E510" s="8"/>
      <c r="F510" s="8"/>
      <c r="G510" s="8"/>
      <c r="H510" s="8"/>
      <c r="I510" s="8"/>
    </row>
    <row r="511" spans="2:9" hidden="1">
      <c r="B511" s="8"/>
      <c r="C511" s="8"/>
      <c r="D511" s="8"/>
      <c r="E511" s="8"/>
      <c r="F511" s="8"/>
      <c r="G511" s="8"/>
      <c r="H511" s="8"/>
      <c r="I511" s="8"/>
    </row>
    <row r="512" spans="2:9" hidden="1">
      <c r="B512" s="8"/>
      <c r="C512" s="8"/>
      <c r="D512" s="8"/>
      <c r="E512" s="8"/>
      <c r="F512" s="8"/>
      <c r="G512" s="8"/>
      <c r="H512" s="8"/>
      <c r="I512" s="8"/>
    </row>
    <row r="513" spans="2:9" hidden="1">
      <c r="B513" s="8"/>
      <c r="C513" s="8"/>
      <c r="D513" s="8"/>
      <c r="E513" s="8"/>
      <c r="F513" s="8"/>
      <c r="G513" s="8"/>
      <c r="H513" s="8"/>
      <c r="I513" s="8"/>
    </row>
    <row r="514" spans="2:9" hidden="1">
      <c r="B514" s="8"/>
      <c r="C514" s="8"/>
      <c r="D514" s="8"/>
      <c r="E514" s="8"/>
      <c r="F514" s="8"/>
      <c r="G514" s="8"/>
      <c r="H514" s="8"/>
      <c r="I514" s="8"/>
    </row>
    <row r="515" spans="2:9" hidden="1">
      <c r="B515" s="8"/>
      <c r="C515" s="8"/>
      <c r="D515" s="8"/>
      <c r="E515" s="8"/>
      <c r="F515" s="8"/>
      <c r="G515" s="8"/>
      <c r="H515" s="8"/>
      <c r="I515" s="8"/>
    </row>
    <row r="516" spans="2:9" hidden="1">
      <c r="B516" s="8"/>
      <c r="C516" s="8"/>
      <c r="D516" s="8"/>
      <c r="E516" s="8"/>
      <c r="F516" s="8"/>
      <c r="G516" s="8"/>
      <c r="H516" s="8"/>
      <c r="I516" s="8"/>
    </row>
    <row r="517" spans="2:9" hidden="1">
      <c r="B517" s="8"/>
      <c r="C517" s="8"/>
      <c r="D517" s="8"/>
      <c r="E517" s="8"/>
      <c r="F517" s="8"/>
      <c r="G517" s="8"/>
      <c r="H517" s="8"/>
      <c r="I517" s="8"/>
    </row>
    <row r="518" spans="2:9" hidden="1">
      <c r="B518" s="8"/>
      <c r="C518" s="8"/>
      <c r="D518" s="8"/>
      <c r="E518" s="8"/>
      <c r="F518" s="8"/>
      <c r="G518" s="8"/>
      <c r="H518" s="8"/>
      <c r="I518" s="8"/>
    </row>
    <row r="519" spans="2:9" hidden="1">
      <c r="B519" s="8"/>
      <c r="C519" s="8"/>
      <c r="D519" s="8"/>
      <c r="E519" s="8"/>
      <c r="F519" s="8"/>
      <c r="G519" s="8"/>
      <c r="H519" s="8"/>
      <c r="I519" s="8"/>
    </row>
    <row r="520" spans="2:9" hidden="1">
      <c r="B520" s="8"/>
      <c r="C520" s="8"/>
      <c r="D520" s="8"/>
      <c r="E520" s="8"/>
      <c r="F520" s="8"/>
      <c r="G520" s="8"/>
      <c r="H520" s="8"/>
      <c r="I520" s="8"/>
    </row>
    <row r="521" spans="2:9" hidden="1">
      <c r="B521" s="8"/>
      <c r="C521" s="8"/>
      <c r="D521" s="8"/>
      <c r="E521" s="8"/>
      <c r="F521" s="8"/>
      <c r="G521" s="8"/>
      <c r="H521" s="8"/>
      <c r="I521" s="8"/>
    </row>
    <row r="522" spans="2:9" hidden="1">
      <c r="B522" s="8"/>
      <c r="C522" s="8"/>
      <c r="D522" s="8"/>
      <c r="E522" s="8"/>
      <c r="F522" s="8"/>
      <c r="G522" s="8"/>
      <c r="H522" s="8"/>
      <c r="I522" s="8"/>
    </row>
    <row r="523" spans="2:9" hidden="1">
      <c r="B523" s="8"/>
      <c r="C523" s="8"/>
      <c r="D523" s="8"/>
      <c r="E523" s="8"/>
      <c r="F523" s="8"/>
      <c r="G523" s="8"/>
      <c r="H523" s="8"/>
      <c r="I523" s="8"/>
    </row>
    <row r="524" spans="2:9" hidden="1">
      <c r="B524" s="8"/>
      <c r="C524" s="8"/>
      <c r="D524" s="8"/>
      <c r="E524" s="8"/>
      <c r="F524" s="8"/>
      <c r="G524" s="8"/>
      <c r="H524" s="8"/>
      <c r="I524" s="8"/>
    </row>
    <row r="525" spans="2:9" hidden="1">
      <c r="B525" s="8"/>
      <c r="C525" s="8"/>
      <c r="D525" s="8"/>
      <c r="E525" s="8"/>
      <c r="F525" s="8"/>
      <c r="G525" s="8"/>
      <c r="H525" s="8"/>
      <c r="I525" s="8"/>
    </row>
    <row r="526" spans="2:9" hidden="1">
      <c r="B526" s="8"/>
      <c r="C526" s="8"/>
      <c r="D526" s="8"/>
      <c r="E526" s="8"/>
      <c r="F526" s="8"/>
      <c r="G526" s="8"/>
      <c r="H526" s="8"/>
      <c r="I526" s="8"/>
    </row>
    <row r="527" spans="2:9" hidden="1">
      <c r="B527" s="8"/>
      <c r="C527" s="8"/>
      <c r="D527" s="8"/>
      <c r="E527" s="8"/>
      <c r="F527" s="8"/>
      <c r="G527" s="8"/>
      <c r="H527" s="8"/>
      <c r="I527" s="8"/>
    </row>
    <row r="528" spans="2:9" hidden="1">
      <c r="B528" s="8"/>
      <c r="C528" s="8"/>
      <c r="D528" s="8"/>
      <c r="E528" s="8"/>
      <c r="F528" s="8"/>
      <c r="G528" s="8"/>
      <c r="H528" s="8"/>
      <c r="I528" s="8"/>
    </row>
    <row r="529" spans="2:9" hidden="1">
      <c r="B529" s="8"/>
      <c r="C529" s="8"/>
      <c r="D529" s="8"/>
      <c r="E529" s="8"/>
      <c r="F529" s="8"/>
      <c r="G529" s="8"/>
      <c r="H529" s="8"/>
      <c r="I529" s="8"/>
    </row>
    <row r="530" spans="2:9" hidden="1">
      <c r="B530" s="8"/>
      <c r="C530" s="8"/>
      <c r="D530" s="8"/>
      <c r="E530" s="8"/>
      <c r="F530" s="8"/>
      <c r="G530" s="8"/>
      <c r="H530" s="8"/>
      <c r="I530" s="8"/>
    </row>
    <row r="531" spans="2:9" hidden="1">
      <c r="B531" s="8"/>
      <c r="C531" s="8"/>
      <c r="D531" s="8"/>
      <c r="E531" s="8"/>
      <c r="F531" s="8"/>
      <c r="G531" s="8"/>
      <c r="H531" s="8"/>
      <c r="I531" s="8"/>
    </row>
    <row r="532" spans="2:9" hidden="1">
      <c r="B532" s="8"/>
      <c r="C532" s="8"/>
      <c r="D532" s="8"/>
      <c r="E532" s="8"/>
      <c r="F532" s="8"/>
      <c r="G532" s="8"/>
      <c r="H532" s="8"/>
      <c r="I532" s="8"/>
    </row>
    <row r="533" spans="2:9" hidden="1">
      <c r="B533" s="8"/>
      <c r="C533" s="8"/>
      <c r="D533" s="8"/>
      <c r="E533" s="8"/>
      <c r="F533" s="8"/>
      <c r="G533" s="8"/>
      <c r="H533" s="8"/>
      <c r="I533" s="8"/>
    </row>
    <row r="534" spans="2:9" hidden="1">
      <c r="B534" s="8"/>
      <c r="C534" s="8"/>
      <c r="D534" s="8"/>
      <c r="E534" s="8"/>
      <c r="F534" s="8"/>
      <c r="G534" s="8"/>
      <c r="H534" s="8"/>
      <c r="I534" s="8"/>
    </row>
    <row r="535" spans="2:9" hidden="1">
      <c r="B535" s="8"/>
      <c r="C535" s="8"/>
      <c r="D535" s="8"/>
      <c r="E535" s="8"/>
      <c r="F535" s="8"/>
      <c r="G535" s="8"/>
      <c r="H535" s="8"/>
      <c r="I535" s="8"/>
    </row>
    <row r="536" spans="2:9" hidden="1">
      <c r="B536" s="8"/>
      <c r="C536" s="8"/>
      <c r="D536" s="8"/>
      <c r="E536" s="8"/>
      <c r="F536" s="8"/>
      <c r="G536" s="8"/>
      <c r="H536" s="8"/>
      <c r="I536" s="8"/>
    </row>
    <row r="537" spans="2:9" hidden="1">
      <c r="B537" s="8"/>
      <c r="C537" s="8"/>
      <c r="D537" s="8"/>
      <c r="E537" s="8"/>
      <c r="F537" s="8"/>
      <c r="G537" s="8"/>
      <c r="H537" s="8"/>
      <c r="I537" s="8"/>
    </row>
    <row r="538" spans="2:9" hidden="1">
      <c r="B538" s="8"/>
      <c r="C538" s="8"/>
      <c r="D538" s="8"/>
      <c r="E538" s="8"/>
      <c r="F538" s="8"/>
      <c r="G538" s="8"/>
      <c r="H538" s="8"/>
      <c r="I538" s="8"/>
    </row>
    <row r="539" spans="2:9" hidden="1">
      <c r="B539" s="8"/>
      <c r="C539" s="8"/>
      <c r="D539" s="8"/>
      <c r="E539" s="8"/>
      <c r="F539" s="8"/>
      <c r="G539" s="8"/>
      <c r="H539" s="8"/>
      <c r="I539" s="8"/>
    </row>
    <row r="540" spans="2:9" hidden="1">
      <c r="B540" s="8"/>
      <c r="C540" s="8"/>
      <c r="D540" s="8"/>
      <c r="E540" s="8"/>
      <c r="F540" s="8"/>
      <c r="G540" s="8"/>
      <c r="H540" s="8"/>
      <c r="I540" s="8"/>
    </row>
    <row r="541" spans="2:9" hidden="1">
      <c r="B541" s="8"/>
      <c r="C541" s="8"/>
      <c r="D541" s="8"/>
      <c r="E541" s="8"/>
      <c r="F541" s="8"/>
      <c r="G541" s="8"/>
      <c r="H541" s="8"/>
      <c r="I541" s="8"/>
    </row>
    <row r="542" spans="2:9" hidden="1">
      <c r="B542" s="8"/>
      <c r="C542" s="8"/>
      <c r="D542" s="8"/>
      <c r="E542" s="8"/>
      <c r="F542" s="8"/>
      <c r="G542" s="8"/>
      <c r="H542" s="8"/>
      <c r="I542" s="8"/>
    </row>
    <row r="543" spans="2:9" hidden="1">
      <c r="B543" s="8"/>
      <c r="C543" s="8"/>
      <c r="D543" s="8"/>
      <c r="E543" s="8"/>
      <c r="F543" s="8"/>
      <c r="G543" s="8"/>
      <c r="H543" s="8"/>
      <c r="I543" s="8"/>
    </row>
    <row r="544" spans="2:9" hidden="1">
      <c r="B544" s="8"/>
      <c r="C544" s="8"/>
      <c r="D544" s="8"/>
      <c r="E544" s="8"/>
      <c r="F544" s="8"/>
      <c r="G544" s="8"/>
      <c r="H544" s="8"/>
      <c r="I544" s="8"/>
    </row>
    <row r="545" spans="2:9" hidden="1">
      <c r="B545" s="8"/>
      <c r="C545" s="8"/>
      <c r="D545" s="8"/>
      <c r="E545" s="8"/>
      <c r="F545" s="8"/>
      <c r="G545" s="8"/>
      <c r="H545" s="8"/>
      <c r="I545" s="8"/>
    </row>
    <row r="546" spans="2:9" hidden="1">
      <c r="B546" s="8"/>
      <c r="C546" s="8"/>
      <c r="D546" s="8"/>
      <c r="E546" s="8"/>
      <c r="F546" s="8"/>
      <c r="G546" s="8"/>
      <c r="H546" s="8"/>
      <c r="I546" s="8"/>
    </row>
    <row r="547" spans="2:9" hidden="1">
      <c r="B547" s="8"/>
      <c r="C547" s="8"/>
      <c r="D547" s="8"/>
      <c r="E547" s="8"/>
      <c r="F547" s="8"/>
      <c r="G547" s="8"/>
      <c r="H547" s="8"/>
      <c r="I547" s="8"/>
    </row>
    <row r="548" spans="2:9" hidden="1">
      <c r="B548" s="8"/>
      <c r="C548" s="8"/>
      <c r="D548" s="8"/>
      <c r="E548" s="8"/>
      <c r="F548" s="8"/>
      <c r="G548" s="8"/>
      <c r="H548" s="8"/>
      <c r="I548" s="8"/>
    </row>
    <row r="549" spans="2:9" hidden="1">
      <c r="B549" s="8"/>
      <c r="C549" s="8"/>
      <c r="D549" s="8"/>
      <c r="E549" s="8"/>
      <c r="F549" s="8"/>
      <c r="G549" s="8"/>
      <c r="H549" s="8"/>
      <c r="I549" s="8"/>
    </row>
    <row r="550" spans="2:9" hidden="1">
      <c r="B550" s="8"/>
      <c r="C550" s="8"/>
      <c r="D550" s="8"/>
      <c r="E550" s="8"/>
      <c r="F550" s="8"/>
      <c r="G550" s="8"/>
      <c r="H550" s="8"/>
      <c r="I550" s="8"/>
    </row>
    <row r="551" spans="2:9" hidden="1">
      <c r="B551" s="8"/>
      <c r="C551" s="8"/>
      <c r="D551" s="8"/>
      <c r="E551" s="8"/>
      <c r="F551" s="8"/>
      <c r="G551" s="8"/>
      <c r="H551" s="8"/>
      <c r="I551" s="8"/>
    </row>
    <row r="552" spans="2:9" hidden="1">
      <c r="B552" s="8"/>
      <c r="C552" s="8"/>
      <c r="D552" s="8"/>
      <c r="E552" s="8"/>
      <c r="F552" s="8"/>
      <c r="G552" s="8"/>
      <c r="H552" s="8"/>
      <c r="I552" s="8"/>
    </row>
    <row r="553" spans="2:9" hidden="1">
      <c r="B553" s="8"/>
      <c r="C553" s="8"/>
      <c r="D553" s="8"/>
      <c r="E553" s="8"/>
      <c r="F553" s="8"/>
      <c r="G553" s="8"/>
      <c r="H553" s="8"/>
      <c r="I553" s="8"/>
    </row>
    <row r="554" spans="2:9" hidden="1">
      <c r="B554" s="8"/>
      <c r="C554" s="8"/>
      <c r="D554" s="8"/>
      <c r="E554" s="8"/>
      <c r="F554" s="8"/>
      <c r="G554" s="8"/>
      <c r="H554" s="8"/>
      <c r="I554" s="8"/>
    </row>
    <row r="555" spans="2:9" hidden="1">
      <c r="B555" s="8"/>
      <c r="C555" s="8"/>
      <c r="D555" s="8"/>
      <c r="E555" s="8"/>
      <c r="F555" s="8"/>
      <c r="G555" s="8"/>
      <c r="H555" s="8"/>
      <c r="I555" s="8"/>
    </row>
    <row r="556" spans="2:9" hidden="1">
      <c r="B556" s="8"/>
      <c r="C556" s="8"/>
      <c r="D556" s="8"/>
      <c r="E556" s="8"/>
      <c r="F556" s="8"/>
      <c r="G556" s="8"/>
      <c r="H556" s="8"/>
      <c r="I556" s="8"/>
    </row>
    <row r="557" spans="2:9" hidden="1">
      <c r="B557" s="8"/>
      <c r="C557" s="8"/>
      <c r="D557" s="8"/>
      <c r="E557" s="8"/>
      <c r="F557" s="8"/>
      <c r="G557" s="8"/>
      <c r="H557" s="8"/>
      <c r="I557" s="8"/>
    </row>
    <row r="558" spans="2:9" hidden="1">
      <c r="B558" s="8"/>
      <c r="C558" s="8"/>
      <c r="D558" s="8"/>
      <c r="E558" s="8"/>
      <c r="F558" s="8"/>
      <c r="G558" s="8"/>
      <c r="H558" s="8"/>
      <c r="I558" s="8"/>
    </row>
    <row r="559" spans="2:9" hidden="1">
      <c r="B559" s="8"/>
      <c r="C559" s="8"/>
      <c r="D559" s="8"/>
      <c r="E559" s="8"/>
      <c r="F559" s="8"/>
      <c r="G559" s="8"/>
      <c r="H559" s="8"/>
      <c r="I559" s="8"/>
    </row>
    <row r="560" spans="2:9" hidden="1">
      <c r="B560" s="8"/>
      <c r="C560" s="8"/>
      <c r="D560" s="8"/>
      <c r="E560" s="8"/>
      <c r="F560" s="8"/>
      <c r="G560" s="8"/>
      <c r="H560" s="8"/>
      <c r="I560" s="8"/>
    </row>
    <row r="561" spans="2:9" hidden="1">
      <c r="B561" s="8"/>
      <c r="C561" s="8"/>
      <c r="D561" s="8"/>
      <c r="E561" s="8"/>
      <c r="F561" s="8"/>
      <c r="G561" s="8"/>
      <c r="H561" s="8"/>
      <c r="I561" s="8"/>
    </row>
    <row r="562" spans="2:9" hidden="1">
      <c r="B562" s="8"/>
      <c r="C562" s="8"/>
      <c r="D562" s="8"/>
      <c r="E562" s="8"/>
      <c r="F562" s="8"/>
      <c r="G562" s="8"/>
      <c r="H562" s="8"/>
      <c r="I562" s="8"/>
    </row>
    <row r="563" spans="2:9" hidden="1">
      <c r="B563" s="8"/>
      <c r="C563" s="8"/>
      <c r="D563" s="8"/>
      <c r="E563" s="8"/>
      <c r="F563" s="8"/>
      <c r="G563" s="8"/>
      <c r="H563" s="8"/>
      <c r="I563" s="8"/>
    </row>
    <row r="564" spans="2:9" hidden="1">
      <c r="B564" s="8"/>
      <c r="C564" s="8"/>
      <c r="D564" s="8"/>
      <c r="E564" s="8"/>
      <c r="F564" s="8"/>
      <c r="G564" s="8"/>
      <c r="H564" s="8"/>
      <c r="I564" s="8"/>
    </row>
    <row r="565" spans="2:9" hidden="1">
      <c r="B565" s="8"/>
      <c r="C565" s="8"/>
      <c r="D565" s="8"/>
      <c r="E565" s="8"/>
      <c r="F565" s="8"/>
      <c r="G565" s="8"/>
      <c r="H565" s="8"/>
      <c r="I565" s="8"/>
    </row>
    <row r="566" spans="2:9" hidden="1">
      <c r="B566" s="8"/>
      <c r="C566" s="8"/>
      <c r="D566" s="8"/>
      <c r="E566" s="8"/>
      <c r="F566" s="8"/>
      <c r="G566" s="8"/>
      <c r="H566" s="8"/>
      <c r="I566" s="8"/>
    </row>
    <row r="567" spans="2:9" hidden="1">
      <c r="B567" s="8"/>
      <c r="C567" s="8"/>
      <c r="D567" s="8"/>
      <c r="E567" s="8"/>
      <c r="F567" s="8"/>
      <c r="G567" s="8"/>
      <c r="H567" s="8"/>
      <c r="I567" s="8"/>
    </row>
    <row r="568" spans="2:9" hidden="1">
      <c r="B568" s="8"/>
      <c r="C568" s="8"/>
      <c r="D568" s="8"/>
      <c r="E568" s="8"/>
      <c r="F568" s="8"/>
      <c r="G568" s="8"/>
      <c r="H568" s="8"/>
      <c r="I568" s="8"/>
    </row>
    <row r="569" spans="2:9" hidden="1">
      <c r="B569" s="8"/>
      <c r="C569" s="8"/>
      <c r="D569" s="8"/>
      <c r="E569" s="8"/>
      <c r="F569" s="8"/>
      <c r="G569" s="8"/>
      <c r="H569" s="8"/>
      <c r="I569" s="8"/>
    </row>
    <row r="570" spans="2:9" hidden="1">
      <c r="B570" s="8"/>
      <c r="C570" s="8"/>
      <c r="D570" s="8"/>
      <c r="E570" s="8"/>
      <c r="F570" s="8"/>
      <c r="G570" s="8"/>
      <c r="H570" s="8"/>
      <c r="I570" s="8"/>
    </row>
    <row r="571" spans="2:9" hidden="1">
      <c r="B571" s="8"/>
      <c r="C571" s="8"/>
      <c r="D571" s="8"/>
      <c r="E571" s="8"/>
      <c r="F571" s="8"/>
      <c r="G571" s="8"/>
      <c r="H571" s="8"/>
      <c r="I571" s="8"/>
    </row>
    <row r="572" spans="2:9" hidden="1">
      <c r="B572" s="8"/>
      <c r="C572" s="8"/>
      <c r="D572" s="8"/>
      <c r="E572" s="8"/>
      <c r="F572" s="8"/>
      <c r="G572" s="8"/>
      <c r="H572" s="8"/>
      <c r="I572" s="8"/>
    </row>
    <row r="573" spans="2:9" hidden="1">
      <c r="B573" s="8"/>
      <c r="C573" s="8"/>
      <c r="D573" s="8"/>
      <c r="E573" s="8"/>
      <c r="F573" s="8"/>
      <c r="G573" s="8"/>
      <c r="H573" s="8"/>
      <c r="I573" s="8"/>
    </row>
    <row r="574" spans="2:9" hidden="1">
      <c r="B574" s="8"/>
      <c r="C574" s="8"/>
      <c r="D574" s="8"/>
      <c r="E574" s="8"/>
      <c r="F574" s="8"/>
      <c r="G574" s="8"/>
      <c r="H574" s="8"/>
      <c r="I574" s="8"/>
    </row>
    <row r="575" spans="2:9" hidden="1">
      <c r="B575" s="8"/>
      <c r="C575" s="8"/>
      <c r="D575" s="8"/>
      <c r="E575" s="8"/>
      <c r="F575" s="8"/>
      <c r="G575" s="8"/>
      <c r="H575" s="8"/>
      <c r="I575" s="8"/>
    </row>
    <row r="576" spans="2:9" hidden="1">
      <c r="B576" s="8"/>
      <c r="C576" s="8"/>
      <c r="D576" s="8"/>
      <c r="E576" s="8"/>
      <c r="F576" s="8"/>
      <c r="G576" s="8"/>
      <c r="H576" s="8"/>
      <c r="I576" s="8"/>
    </row>
    <row r="577" spans="2:9" hidden="1">
      <c r="B577" s="8"/>
      <c r="C577" s="8"/>
      <c r="D577" s="8"/>
      <c r="E577" s="8"/>
      <c r="F577" s="8"/>
      <c r="G577" s="8"/>
      <c r="H577" s="8"/>
      <c r="I577" s="8"/>
    </row>
    <row r="578" spans="2:9" hidden="1">
      <c r="B578" s="8"/>
      <c r="C578" s="8"/>
      <c r="D578" s="8"/>
      <c r="E578" s="8"/>
      <c r="F578" s="8"/>
      <c r="G578" s="8"/>
      <c r="H578" s="8"/>
      <c r="I578" s="8"/>
    </row>
    <row r="579" spans="2:9" hidden="1">
      <c r="B579" s="8"/>
      <c r="C579" s="8"/>
      <c r="D579" s="8"/>
      <c r="E579" s="8"/>
      <c r="F579" s="8"/>
      <c r="G579" s="8"/>
      <c r="H579" s="8"/>
      <c r="I579" s="8"/>
    </row>
    <row r="580" spans="2:9" hidden="1">
      <c r="B580" s="8"/>
      <c r="C580" s="8"/>
      <c r="D580" s="8"/>
      <c r="E580" s="8"/>
      <c r="F580" s="8"/>
      <c r="G580" s="8"/>
      <c r="H580" s="8"/>
      <c r="I580" s="8"/>
    </row>
    <row r="581" spans="2:9" hidden="1">
      <c r="B581" s="8"/>
      <c r="C581" s="8"/>
      <c r="D581" s="8"/>
      <c r="E581" s="8"/>
      <c r="F581" s="8"/>
      <c r="G581" s="8"/>
      <c r="H581" s="8"/>
      <c r="I581" s="8"/>
    </row>
    <row r="582" spans="2:9" hidden="1">
      <c r="B582" s="8"/>
      <c r="C582" s="8"/>
      <c r="D582" s="8"/>
      <c r="E582" s="8"/>
      <c r="F582" s="8"/>
      <c r="G582" s="8"/>
      <c r="H582" s="8"/>
      <c r="I582" s="8"/>
    </row>
    <row r="583" spans="2:9" hidden="1">
      <c r="B583" s="8"/>
      <c r="C583" s="8"/>
      <c r="D583" s="8"/>
      <c r="E583" s="8"/>
      <c r="F583" s="8"/>
      <c r="G583" s="8"/>
      <c r="H583" s="8"/>
      <c r="I583" s="8"/>
    </row>
    <row r="584" spans="2:9" hidden="1">
      <c r="B584" s="8"/>
      <c r="C584" s="8"/>
      <c r="D584" s="8"/>
      <c r="E584" s="8"/>
      <c r="F584" s="8"/>
      <c r="G584" s="8"/>
      <c r="H584" s="8"/>
      <c r="I584" s="8"/>
    </row>
    <row r="585" spans="2:9" hidden="1">
      <c r="B585" s="8"/>
      <c r="C585" s="8"/>
      <c r="D585" s="8"/>
      <c r="E585" s="8"/>
      <c r="F585" s="8"/>
      <c r="G585" s="8"/>
      <c r="H585" s="8"/>
      <c r="I585" s="8"/>
    </row>
    <row r="586" spans="2:9" hidden="1">
      <c r="B586" s="8"/>
      <c r="C586" s="8"/>
      <c r="D586" s="8"/>
      <c r="E586" s="8"/>
      <c r="F586" s="8"/>
      <c r="G586" s="8"/>
      <c r="H586" s="8"/>
      <c r="I586" s="8"/>
    </row>
    <row r="587" spans="2:9" hidden="1">
      <c r="B587" s="8"/>
      <c r="C587" s="8"/>
      <c r="D587" s="8"/>
      <c r="E587" s="8"/>
      <c r="F587" s="8"/>
      <c r="G587" s="8"/>
      <c r="H587" s="8"/>
      <c r="I587" s="8"/>
    </row>
    <row r="588" spans="2:9" hidden="1">
      <c r="B588" s="8"/>
      <c r="C588" s="8"/>
      <c r="D588" s="8"/>
      <c r="E588" s="8"/>
      <c r="F588" s="8"/>
      <c r="G588" s="8"/>
      <c r="H588" s="8"/>
      <c r="I588" s="8"/>
    </row>
    <row r="589" spans="2:9" hidden="1">
      <c r="B589" s="8"/>
      <c r="C589" s="8"/>
      <c r="D589" s="8"/>
      <c r="E589" s="8"/>
      <c r="F589" s="8"/>
      <c r="G589" s="8"/>
      <c r="H589" s="8"/>
      <c r="I589" s="8"/>
    </row>
    <row r="590" spans="2:9" hidden="1">
      <c r="B590" s="8"/>
      <c r="C590" s="8"/>
      <c r="D590" s="8"/>
      <c r="E590" s="8"/>
      <c r="F590" s="8"/>
      <c r="G590" s="8"/>
      <c r="H590" s="8"/>
      <c r="I590" s="8"/>
    </row>
    <row r="591" spans="2:9" hidden="1">
      <c r="B591" s="8"/>
      <c r="C591" s="8"/>
      <c r="D591" s="8"/>
      <c r="E591" s="8"/>
      <c r="F591" s="8"/>
      <c r="G591" s="8"/>
      <c r="H591" s="8"/>
      <c r="I591" s="8"/>
    </row>
    <row r="592" spans="2:9" hidden="1">
      <c r="B592" s="8"/>
      <c r="C592" s="8"/>
      <c r="D592" s="8"/>
      <c r="E592" s="8"/>
      <c r="F592" s="8"/>
      <c r="G592" s="8"/>
      <c r="H592" s="8"/>
      <c r="I592" s="8"/>
    </row>
    <row r="593" spans="2:9" hidden="1">
      <c r="B593" s="8"/>
      <c r="C593" s="8"/>
      <c r="D593" s="8"/>
      <c r="E593" s="8"/>
      <c r="F593" s="8"/>
      <c r="G593" s="8"/>
      <c r="H593" s="8"/>
      <c r="I593" s="8"/>
    </row>
    <row r="594" spans="2:9" hidden="1">
      <c r="B594" s="8"/>
      <c r="C594" s="8"/>
      <c r="D594" s="8"/>
      <c r="E594" s="8"/>
      <c r="F594" s="8"/>
      <c r="G594" s="8"/>
      <c r="H594" s="8"/>
      <c r="I594" s="8"/>
    </row>
    <row r="595" spans="2:9" hidden="1">
      <c r="B595" s="8"/>
      <c r="C595" s="8"/>
      <c r="D595" s="8"/>
      <c r="E595" s="8"/>
      <c r="F595" s="8"/>
      <c r="G595" s="8"/>
      <c r="H595" s="8"/>
      <c r="I595" s="8"/>
    </row>
    <row r="596" spans="2:9" hidden="1">
      <c r="B596" s="8"/>
      <c r="C596" s="8"/>
      <c r="D596" s="8"/>
      <c r="E596" s="8"/>
      <c r="F596" s="8"/>
      <c r="G596" s="8"/>
      <c r="H596" s="8"/>
      <c r="I596" s="8"/>
    </row>
    <row r="597" spans="2:9" hidden="1">
      <c r="B597" s="8"/>
      <c r="C597" s="8"/>
      <c r="D597" s="8"/>
      <c r="E597" s="8"/>
      <c r="F597" s="8"/>
      <c r="G597" s="8"/>
      <c r="H597" s="8"/>
      <c r="I597" s="8"/>
    </row>
    <row r="598" spans="2:9" hidden="1">
      <c r="B598" s="8"/>
      <c r="C598" s="8"/>
      <c r="D598" s="8"/>
      <c r="E598" s="8"/>
      <c r="F598" s="8"/>
      <c r="G598" s="8"/>
      <c r="H598" s="8"/>
      <c r="I598" s="8"/>
    </row>
    <row r="599" spans="2:9" hidden="1">
      <c r="B599" s="8"/>
      <c r="C599" s="8"/>
      <c r="D599" s="8"/>
      <c r="E599" s="8"/>
      <c r="F599" s="8"/>
      <c r="G599" s="8"/>
      <c r="H599" s="8"/>
      <c r="I599" s="8"/>
    </row>
    <row r="600" spans="2:9" hidden="1">
      <c r="B600" s="8"/>
      <c r="C600" s="8"/>
      <c r="D600" s="8"/>
      <c r="E600" s="8"/>
      <c r="F600" s="8"/>
      <c r="G600" s="8"/>
      <c r="H600" s="8"/>
      <c r="I600" s="8"/>
    </row>
    <row r="601" spans="2:9" hidden="1">
      <c r="B601" s="8"/>
      <c r="C601" s="8"/>
      <c r="D601" s="8"/>
      <c r="E601" s="8"/>
      <c r="F601" s="8"/>
      <c r="G601" s="8"/>
      <c r="H601" s="8"/>
      <c r="I601" s="8"/>
    </row>
    <row r="602" spans="2:9" hidden="1">
      <c r="B602" s="8"/>
      <c r="C602" s="8"/>
      <c r="D602" s="8"/>
      <c r="E602" s="8"/>
      <c r="F602" s="8"/>
      <c r="G602" s="8"/>
      <c r="H602" s="8"/>
      <c r="I602" s="8"/>
    </row>
    <row r="603" spans="2:9" hidden="1">
      <c r="B603" s="8"/>
      <c r="C603" s="8"/>
      <c r="D603" s="8"/>
      <c r="E603" s="8"/>
      <c r="F603" s="8"/>
      <c r="G603" s="8"/>
      <c r="H603" s="8"/>
      <c r="I603" s="8"/>
    </row>
    <row r="604" spans="2:9" hidden="1">
      <c r="B604" s="8"/>
      <c r="C604" s="8"/>
      <c r="D604" s="8"/>
      <c r="E604" s="8"/>
      <c r="F604" s="8"/>
      <c r="G604" s="8"/>
      <c r="H604" s="8"/>
      <c r="I604" s="8"/>
    </row>
    <row r="605" spans="2:9" hidden="1">
      <c r="B605" s="8"/>
      <c r="C605" s="8"/>
      <c r="D605" s="8"/>
      <c r="E605" s="8"/>
      <c r="F605" s="8"/>
      <c r="G605" s="8"/>
      <c r="H605" s="8"/>
      <c r="I605" s="8"/>
    </row>
    <row r="606" spans="2:9" hidden="1">
      <c r="B606" s="8"/>
      <c r="C606" s="8"/>
      <c r="D606" s="8"/>
      <c r="E606" s="8"/>
      <c r="F606" s="8"/>
      <c r="G606" s="8"/>
      <c r="H606" s="8"/>
      <c r="I606" s="8"/>
    </row>
    <row r="607" spans="2:9" hidden="1">
      <c r="B607" s="8"/>
      <c r="C607" s="8"/>
      <c r="D607" s="8"/>
      <c r="E607" s="8"/>
      <c r="F607" s="8"/>
      <c r="G607" s="8"/>
      <c r="H607" s="8"/>
      <c r="I607" s="8"/>
    </row>
    <row r="608" spans="2:9" hidden="1">
      <c r="B608" s="8"/>
      <c r="C608" s="8"/>
      <c r="D608" s="8"/>
      <c r="E608" s="8"/>
      <c r="F608" s="8"/>
      <c r="G608" s="8"/>
      <c r="H608" s="8"/>
      <c r="I608" s="8"/>
    </row>
    <row r="609" spans="2:9" hidden="1">
      <c r="B609" s="8"/>
      <c r="C609" s="8"/>
      <c r="D609" s="8"/>
      <c r="E609" s="8"/>
      <c r="F609" s="8"/>
      <c r="G609" s="8"/>
      <c r="H609" s="8"/>
      <c r="I609" s="8"/>
    </row>
    <row r="610" spans="2:9" hidden="1">
      <c r="B610" s="8"/>
      <c r="C610" s="8"/>
      <c r="D610" s="8"/>
      <c r="E610" s="8"/>
      <c r="F610" s="8"/>
      <c r="G610" s="8"/>
      <c r="H610" s="8"/>
      <c r="I610" s="8"/>
    </row>
    <row r="611" spans="2:9" hidden="1">
      <c r="B611" s="8"/>
      <c r="C611" s="8"/>
      <c r="D611" s="8"/>
      <c r="E611" s="8"/>
      <c r="F611" s="8"/>
      <c r="G611" s="8"/>
      <c r="H611" s="8"/>
      <c r="I611" s="8"/>
    </row>
    <row r="612" spans="2:9" hidden="1">
      <c r="B612" s="8"/>
      <c r="C612" s="8"/>
      <c r="D612" s="8"/>
      <c r="E612" s="8"/>
      <c r="F612" s="8"/>
      <c r="G612" s="8"/>
      <c r="H612" s="8"/>
      <c r="I612" s="8"/>
    </row>
    <row r="613" spans="2:9" hidden="1">
      <c r="B613" s="8"/>
      <c r="C613" s="8"/>
      <c r="D613" s="8"/>
      <c r="E613" s="8"/>
      <c r="F613" s="8"/>
      <c r="G613" s="8"/>
      <c r="H613" s="8"/>
      <c r="I613" s="8"/>
    </row>
    <row r="614" spans="2:9" hidden="1">
      <c r="B614" s="8"/>
      <c r="C614" s="8"/>
      <c r="D614" s="8"/>
      <c r="E614" s="8"/>
      <c r="F614" s="8"/>
      <c r="G614" s="8"/>
      <c r="H614" s="8"/>
      <c r="I614" s="8"/>
    </row>
    <row r="615" spans="2:9" hidden="1">
      <c r="B615" s="8"/>
      <c r="C615" s="8"/>
      <c r="D615" s="8"/>
      <c r="E615" s="8"/>
      <c r="F615" s="8"/>
      <c r="G615" s="8"/>
      <c r="H615" s="8"/>
      <c r="I615" s="8"/>
    </row>
    <row r="616" spans="2:9" hidden="1">
      <c r="B616" s="8"/>
      <c r="C616" s="8"/>
      <c r="D616" s="8"/>
      <c r="E616" s="8"/>
      <c r="F616" s="8"/>
      <c r="G616" s="8"/>
      <c r="H616" s="8"/>
      <c r="I616" s="8"/>
    </row>
    <row r="617" spans="2:9" hidden="1">
      <c r="B617" s="8"/>
      <c r="C617" s="8"/>
      <c r="D617" s="8"/>
      <c r="E617" s="8"/>
      <c r="F617" s="8"/>
      <c r="G617" s="8"/>
      <c r="H617" s="8"/>
      <c r="I617" s="8"/>
    </row>
    <row r="618" spans="2:9" hidden="1">
      <c r="B618" s="8"/>
      <c r="C618" s="8"/>
      <c r="D618" s="8"/>
      <c r="E618" s="8"/>
      <c r="F618" s="8"/>
      <c r="G618" s="8"/>
      <c r="H618" s="8"/>
      <c r="I618" s="8"/>
    </row>
    <row r="619" spans="2:9" hidden="1">
      <c r="B619" s="8"/>
      <c r="C619" s="8"/>
      <c r="D619" s="8"/>
      <c r="E619" s="8"/>
      <c r="F619" s="8"/>
      <c r="G619" s="8"/>
      <c r="H619" s="8"/>
      <c r="I619" s="8"/>
    </row>
    <row r="620" spans="2:9" hidden="1">
      <c r="B620" s="8"/>
      <c r="C620" s="8"/>
      <c r="D620" s="8"/>
      <c r="E620" s="8"/>
      <c r="F620" s="8"/>
      <c r="G620" s="8"/>
      <c r="H620" s="8"/>
      <c r="I620" s="8"/>
    </row>
    <row r="621" spans="2:9" hidden="1">
      <c r="B621" s="8"/>
      <c r="C621" s="8"/>
      <c r="D621" s="8"/>
      <c r="E621" s="8"/>
      <c r="F621" s="8"/>
      <c r="G621" s="8"/>
      <c r="H621" s="8"/>
      <c r="I621" s="8"/>
    </row>
    <row r="622" spans="2:9" hidden="1">
      <c r="B622" s="8"/>
      <c r="C622" s="8"/>
      <c r="D622" s="8"/>
      <c r="E622" s="8"/>
      <c r="F622" s="8"/>
      <c r="G622" s="8"/>
      <c r="H622" s="8"/>
      <c r="I622" s="8"/>
    </row>
    <row r="623" spans="2:9" hidden="1">
      <c r="B623" s="8"/>
      <c r="C623" s="8"/>
      <c r="D623" s="8"/>
      <c r="E623" s="8"/>
      <c r="F623" s="8"/>
      <c r="G623" s="8"/>
      <c r="H623" s="8"/>
      <c r="I623" s="8"/>
    </row>
    <row r="624" spans="2:9" hidden="1">
      <c r="B624" s="8"/>
      <c r="C624" s="8"/>
      <c r="D624" s="8"/>
      <c r="E624" s="8"/>
      <c r="F624" s="8"/>
      <c r="G624" s="8"/>
      <c r="H624" s="8"/>
      <c r="I624" s="8"/>
    </row>
    <row r="625" spans="2:9" hidden="1">
      <c r="B625" s="8"/>
      <c r="C625" s="8"/>
      <c r="D625" s="8"/>
      <c r="E625" s="8"/>
      <c r="F625" s="8"/>
      <c r="G625" s="8"/>
      <c r="H625" s="8"/>
      <c r="I625" s="8"/>
    </row>
    <row r="626" spans="2:9" hidden="1">
      <c r="B626" s="8"/>
      <c r="C626" s="8"/>
      <c r="D626" s="8"/>
      <c r="E626" s="8"/>
      <c r="F626" s="8"/>
      <c r="G626" s="8"/>
      <c r="H626" s="8"/>
      <c r="I626" s="8"/>
    </row>
    <row r="627" spans="2:9" hidden="1">
      <c r="B627" s="8"/>
      <c r="C627" s="8"/>
      <c r="D627" s="8"/>
      <c r="E627" s="8"/>
      <c r="F627" s="8"/>
      <c r="G627" s="8"/>
      <c r="H627" s="8"/>
      <c r="I627" s="8"/>
    </row>
    <row r="628" spans="2:9" hidden="1">
      <c r="B628" s="8"/>
      <c r="C628" s="8"/>
      <c r="D628" s="8"/>
      <c r="E628" s="8"/>
      <c r="F628" s="8"/>
      <c r="G628" s="8"/>
      <c r="H628" s="8"/>
      <c r="I628" s="8"/>
    </row>
    <row r="629" spans="2:9" hidden="1">
      <c r="B629" s="8"/>
      <c r="C629" s="8"/>
      <c r="D629" s="8"/>
      <c r="E629" s="8"/>
      <c r="F629" s="8"/>
      <c r="G629" s="8"/>
      <c r="H629" s="8"/>
      <c r="I629" s="8"/>
    </row>
    <row r="630" spans="2:9" hidden="1">
      <c r="B630" s="8"/>
      <c r="C630" s="8"/>
      <c r="D630" s="8"/>
      <c r="E630" s="8"/>
      <c r="F630" s="8"/>
      <c r="G630" s="8"/>
      <c r="H630" s="8"/>
      <c r="I630" s="8"/>
    </row>
    <row r="631" spans="2:9" hidden="1">
      <c r="B631" s="8"/>
      <c r="C631" s="8"/>
      <c r="D631" s="8"/>
      <c r="E631" s="8"/>
      <c r="F631" s="8"/>
      <c r="G631" s="8"/>
      <c r="H631" s="8"/>
      <c r="I631" s="8"/>
    </row>
    <row r="632" spans="2:9" hidden="1">
      <c r="B632" s="8"/>
      <c r="C632" s="8"/>
      <c r="D632" s="8"/>
      <c r="E632" s="8"/>
      <c r="F632" s="8"/>
      <c r="G632" s="8"/>
      <c r="H632" s="8"/>
      <c r="I632" s="8"/>
    </row>
    <row r="633" spans="2:9" hidden="1">
      <c r="B633" s="8"/>
      <c r="C633" s="8"/>
      <c r="D633" s="8"/>
      <c r="E633" s="8"/>
      <c r="F633" s="8"/>
      <c r="G633" s="8"/>
      <c r="H633" s="8"/>
      <c r="I633" s="8"/>
    </row>
    <row r="634" spans="2:9" hidden="1">
      <c r="B634" s="8"/>
      <c r="C634" s="8"/>
      <c r="D634" s="8"/>
      <c r="E634" s="8"/>
      <c r="F634" s="8"/>
      <c r="G634" s="8"/>
      <c r="H634" s="8"/>
      <c r="I634" s="8"/>
    </row>
    <row r="635" spans="2:9" hidden="1">
      <c r="B635" s="8"/>
      <c r="C635" s="8"/>
      <c r="D635" s="8"/>
      <c r="E635" s="8"/>
      <c r="F635" s="8"/>
      <c r="G635" s="8"/>
      <c r="H635" s="8"/>
      <c r="I635" s="8"/>
    </row>
    <row r="636" spans="2:9" hidden="1">
      <c r="B636" s="8"/>
      <c r="C636" s="8"/>
      <c r="D636" s="8"/>
      <c r="E636" s="8"/>
      <c r="F636" s="8"/>
      <c r="G636" s="8"/>
      <c r="H636" s="8"/>
      <c r="I636" s="8"/>
    </row>
    <row r="637" spans="2:9" hidden="1">
      <c r="B637" s="8"/>
      <c r="C637" s="8"/>
      <c r="D637" s="8"/>
      <c r="E637" s="8"/>
      <c r="F637" s="8"/>
      <c r="G637" s="8"/>
      <c r="H637" s="8"/>
      <c r="I637" s="8"/>
    </row>
    <row r="638" spans="2:9" hidden="1">
      <c r="B638" s="8"/>
      <c r="C638" s="8"/>
      <c r="D638" s="8"/>
      <c r="E638" s="8"/>
      <c r="F638" s="8"/>
      <c r="G638" s="8"/>
      <c r="H638" s="8"/>
      <c r="I638" s="8"/>
    </row>
    <row r="639" spans="2:9" hidden="1">
      <c r="B639" s="8"/>
      <c r="C639" s="8"/>
      <c r="D639" s="8"/>
      <c r="E639" s="8"/>
      <c r="F639" s="8"/>
      <c r="G639" s="8"/>
      <c r="H639" s="8"/>
      <c r="I639" s="8"/>
    </row>
    <row r="640" spans="2:9" hidden="1">
      <c r="B640" s="8"/>
      <c r="C640" s="8"/>
      <c r="D640" s="8"/>
      <c r="E640" s="8"/>
      <c r="F640" s="8"/>
      <c r="G640" s="8"/>
      <c r="H640" s="8"/>
      <c r="I640" s="8"/>
    </row>
    <row r="641" spans="2:9" hidden="1">
      <c r="B641" s="8"/>
      <c r="C641" s="8"/>
      <c r="D641" s="8"/>
      <c r="E641" s="8"/>
      <c r="F641" s="8"/>
      <c r="G641" s="8"/>
      <c r="H641" s="8"/>
      <c r="I641" s="8"/>
    </row>
    <row r="642" spans="2:9" hidden="1">
      <c r="B642" s="8"/>
      <c r="C642" s="8"/>
      <c r="D642" s="8"/>
      <c r="E642" s="8"/>
      <c r="F642" s="8"/>
      <c r="G642" s="8"/>
      <c r="H642" s="8"/>
      <c r="I642" s="8"/>
    </row>
    <row r="643" spans="2:9" hidden="1">
      <c r="B643" s="8"/>
      <c r="C643" s="8"/>
      <c r="D643" s="8"/>
      <c r="E643" s="8"/>
      <c r="F643" s="8"/>
      <c r="G643" s="8"/>
      <c r="H643" s="8"/>
      <c r="I643" s="8"/>
    </row>
    <row r="644" spans="2:9" hidden="1">
      <c r="B644" s="8"/>
      <c r="C644" s="8"/>
      <c r="D644" s="8"/>
      <c r="E644" s="8"/>
      <c r="F644" s="8"/>
      <c r="G644" s="8"/>
      <c r="H644" s="8"/>
      <c r="I644" s="8"/>
    </row>
    <row r="645" spans="2:9" hidden="1">
      <c r="B645" s="8"/>
      <c r="C645" s="8"/>
      <c r="D645" s="8"/>
      <c r="E645" s="8"/>
      <c r="F645" s="8"/>
      <c r="G645" s="8"/>
      <c r="H645" s="8"/>
      <c r="I645" s="8"/>
    </row>
    <row r="646" spans="2:9" hidden="1">
      <c r="B646" s="8"/>
      <c r="C646" s="8"/>
      <c r="D646" s="8"/>
      <c r="E646" s="8"/>
      <c r="F646" s="8"/>
      <c r="G646" s="8"/>
      <c r="H646" s="8"/>
      <c r="I646" s="8"/>
    </row>
    <row r="647" spans="2:9" hidden="1">
      <c r="B647" s="8"/>
      <c r="C647" s="8"/>
      <c r="D647" s="8"/>
      <c r="E647" s="8"/>
      <c r="F647" s="8"/>
      <c r="G647" s="8"/>
      <c r="H647" s="8"/>
      <c r="I647" s="8"/>
    </row>
    <row r="648" spans="2:9" hidden="1">
      <c r="B648" s="8"/>
      <c r="C648" s="8"/>
      <c r="D648" s="8"/>
      <c r="E648" s="8"/>
      <c r="F648" s="8"/>
      <c r="G648" s="8"/>
      <c r="H648" s="8"/>
      <c r="I648" s="8"/>
    </row>
    <row r="649" spans="2:9" hidden="1">
      <c r="B649" s="8"/>
      <c r="C649" s="8"/>
      <c r="D649" s="8"/>
      <c r="E649" s="8"/>
      <c r="F649" s="8"/>
      <c r="G649" s="8"/>
      <c r="H649" s="8"/>
      <c r="I649" s="8"/>
    </row>
    <row r="650" spans="2:9" hidden="1">
      <c r="B650" s="8"/>
      <c r="C650" s="8"/>
      <c r="D650" s="8"/>
      <c r="E650" s="8"/>
      <c r="F650" s="8"/>
      <c r="G650" s="8"/>
      <c r="H650" s="8"/>
      <c r="I650" s="8"/>
    </row>
    <row r="651" spans="2:9" hidden="1">
      <c r="B651" s="8"/>
      <c r="C651" s="8"/>
      <c r="D651" s="8"/>
      <c r="E651" s="8"/>
      <c r="F651" s="8"/>
      <c r="G651" s="8"/>
      <c r="H651" s="8"/>
      <c r="I651" s="8"/>
    </row>
    <row r="652" spans="2:9" hidden="1">
      <c r="B652" s="8"/>
      <c r="C652" s="8"/>
      <c r="D652" s="8"/>
      <c r="E652" s="8"/>
      <c r="F652" s="8"/>
      <c r="G652" s="8"/>
      <c r="H652" s="8"/>
      <c r="I652" s="8"/>
    </row>
    <row r="653" spans="2:9" hidden="1">
      <c r="B653" s="8"/>
      <c r="C653" s="8"/>
      <c r="D653" s="8"/>
      <c r="E653" s="8"/>
      <c r="F653" s="8"/>
      <c r="G653" s="8"/>
      <c r="H653" s="8"/>
      <c r="I653" s="8"/>
    </row>
    <row r="654" spans="2:9" hidden="1">
      <c r="B654" s="8"/>
      <c r="C654" s="8"/>
      <c r="D654" s="8"/>
      <c r="E654" s="8"/>
      <c r="F654" s="8"/>
      <c r="G654" s="8"/>
      <c r="H654" s="8"/>
      <c r="I654" s="8"/>
    </row>
    <row r="655" spans="2:9" hidden="1">
      <c r="B655" s="8"/>
      <c r="C655" s="8"/>
      <c r="D655" s="8"/>
      <c r="E655" s="8"/>
      <c r="F655" s="8"/>
      <c r="G655" s="8"/>
      <c r="H655" s="8"/>
      <c r="I655" s="8"/>
    </row>
    <row r="656" spans="2:9" hidden="1">
      <c r="B656" s="8"/>
      <c r="C656" s="8"/>
      <c r="D656" s="8"/>
      <c r="E656" s="8"/>
      <c r="F656" s="8"/>
      <c r="G656" s="8"/>
      <c r="H656" s="8"/>
      <c r="I656" s="8"/>
    </row>
    <row r="657" spans="2:9" hidden="1">
      <c r="B657" s="8"/>
      <c r="C657" s="8"/>
      <c r="D657" s="8"/>
      <c r="E657" s="8"/>
      <c r="F657" s="8"/>
      <c r="G657" s="8"/>
      <c r="H657" s="8"/>
      <c r="I657" s="8"/>
    </row>
    <row r="658" spans="2:9" hidden="1">
      <c r="B658" s="8"/>
      <c r="C658" s="8"/>
      <c r="D658" s="8"/>
      <c r="E658" s="8"/>
      <c r="F658" s="8"/>
      <c r="G658" s="8"/>
      <c r="H658" s="8"/>
      <c r="I658" s="8"/>
    </row>
    <row r="659" spans="2:9" hidden="1">
      <c r="B659" s="8"/>
      <c r="C659" s="8"/>
      <c r="D659" s="8"/>
      <c r="E659" s="8"/>
      <c r="F659" s="8"/>
      <c r="G659" s="8"/>
      <c r="H659" s="8"/>
      <c r="I659" s="8"/>
    </row>
    <row r="660" spans="2:9" hidden="1">
      <c r="B660" s="8"/>
      <c r="C660" s="8"/>
      <c r="D660" s="8"/>
      <c r="E660" s="8"/>
      <c r="F660" s="8"/>
      <c r="G660" s="8"/>
      <c r="H660" s="8"/>
      <c r="I660" s="8"/>
    </row>
    <row r="661" spans="2:9" hidden="1">
      <c r="B661" s="8"/>
      <c r="C661" s="8"/>
      <c r="D661" s="8"/>
      <c r="E661" s="8"/>
      <c r="F661" s="8"/>
      <c r="G661" s="8"/>
      <c r="H661" s="8"/>
      <c r="I661" s="8"/>
    </row>
    <row r="662" spans="2:9" hidden="1">
      <c r="B662" s="8"/>
      <c r="C662" s="8"/>
      <c r="D662" s="8"/>
      <c r="E662" s="8"/>
      <c r="F662" s="8"/>
      <c r="G662" s="8"/>
      <c r="H662" s="8"/>
      <c r="I662" s="8"/>
    </row>
    <row r="663" spans="2:9" hidden="1">
      <c r="B663" s="8"/>
      <c r="C663" s="8"/>
      <c r="D663" s="8"/>
      <c r="E663" s="8"/>
      <c r="F663" s="8"/>
      <c r="G663" s="8"/>
      <c r="H663" s="8"/>
      <c r="I663" s="8"/>
    </row>
    <row r="664" spans="2:9" hidden="1">
      <c r="B664" s="8"/>
      <c r="C664" s="8"/>
      <c r="D664" s="8"/>
      <c r="E664" s="8"/>
      <c r="F664" s="8"/>
      <c r="G664" s="8"/>
      <c r="H664" s="8"/>
      <c r="I664" s="8"/>
    </row>
    <row r="665" spans="2:9" hidden="1">
      <c r="B665" s="8"/>
      <c r="C665" s="8"/>
      <c r="D665" s="8"/>
      <c r="E665" s="8"/>
      <c r="F665" s="8"/>
      <c r="G665" s="8"/>
      <c r="H665" s="8"/>
      <c r="I665" s="8"/>
    </row>
    <row r="666" spans="2:9" hidden="1">
      <c r="B666" s="8"/>
      <c r="C666" s="8"/>
      <c r="D666" s="8"/>
      <c r="E666" s="8"/>
      <c r="F666" s="8"/>
      <c r="G666" s="8"/>
      <c r="H666" s="8"/>
      <c r="I666" s="8"/>
    </row>
    <row r="667" spans="2:9" hidden="1">
      <c r="B667" s="8"/>
      <c r="C667" s="8"/>
      <c r="D667" s="8"/>
      <c r="E667" s="8"/>
      <c r="F667" s="8"/>
      <c r="G667" s="8"/>
      <c r="H667" s="8"/>
      <c r="I667" s="8"/>
    </row>
    <row r="668" spans="2:9" hidden="1">
      <c r="B668" s="8"/>
      <c r="C668" s="8"/>
      <c r="D668" s="8"/>
      <c r="E668" s="8"/>
      <c r="F668" s="8"/>
      <c r="G668" s="8"/>
      <c r="H668" s="8"/>
      <c r="I668" s="8"/>
    </row>
    <row r="669" spans="2:9" hidden="1">
      <c r="B669" s="8"/>
      <c r="C669" s="8"/>
      <c r="D669" s="8"/>
      <c r="E669" s="8"/>
      <c r="F669" s="8"/>
      <c r="G669" s="8"/>
      <c r="H669" s="8"/>
      <c r="I669" s="8"/>
    </row>
    <row r="670" spans="2:9" hidden="1">
      <c r="B670" s="8"/>
      <c r="C670" s="8"/>
      <c r="D670" s="8"/>
      <c r="E670" s="8"/>
      <c r="F670" s="8"/>
      <c r="G670" s="8"/>
      <c r="H670" s="8"/>
      <c r="I670" s="8"/>
    </row>
    <row r="671" spans="2:9" hidden="1">
      <c r="B671" s="8"/>
      <c r="C671" s="8"/>
      <c r="D671" s="8"/>
      <c r="E671" s="8"/>
      <c r="F671" s="8"/>
      <c r="G671" s="8"/>
      <c r="H671" s="8"/>
      <c r="I671" s="8"/>
    </row>
    <row r="672" spans="2:9" hidden="1">
      <c r="B672" s="8"/>
      <c r="C672" s="8"/>
      <c r="D672" s="8"/>
      <c r="E672" s="8"/>
      <c r="F672" s="8"/>
      <c r="G672" s="8"/>
      <c r="H672" s="8"/>
      <c r="I672" s="8"/>
    </row>
    <row r="673" spans="2:9" hidden="1">
      <c r="B673" s="8"/>
      <c r="C673" s="8"/>
      <c r="D673" s="8"/>
      <c r="E673" s="8"/>
      <c r="F673" s="8"/>
      <c r="G673" s="8"/>
      <c r="H673" s="8"/>
      <c r="I673" s="8"/>
    </row>
    <row r="674" spans="2:9" hidden="1">
      <c r="B674" s="8"/>
      <c r="C674" s="8"/>
      <c r="D674" s="8"/>
      <c r="E674" s="8"/>
      <c r="F674" s="8"/>
      <c r="G674" s="8"/>
      <c r="H674" s="8"/>
      <c r="I674" s="8"/>
    </row>
    <row r="675" spans="2:9" hidden="1">
      <c r="B675" s="8"/>
      <c r="C675" s="8"/>
      <c r="D675" s="8"/>
      <c r="E675" s="8"/>
      <c r="F675" s="8"/>
      <c r="G675" s="8"/>
      <c r="H675" s="8"/>
      <c r="I675" s="8"/>
    </row>
    <row r="676" spans="2:9" hidden="1">
      <c r="B676" s="8"/>
      <c r="C676" s="8"/>
      <c r="D676" s="8"/>
      <c r="E676" s="8"/>
      <c r="F676" s="8"/>
      <c r="G676" s="8"/>
      <c r="H676" s="8"/>
      <c r="I676" s="8"/>
    </row>
    <row r="677" spans="2:9" hidden="1">
      <c r="B677" s="8"/>
      <c r="C677" s="8"/>
      <c r="D677" s="8"/>
      <c r="E677" s="8"/>
      <c r="F677" s="8"/>
      <c r="G677" s="8"/>
      <c r="H677" s="8"/>
      <c r="I677" s="8"/>
    </row>
    <row r="678" spans="2:9" hidden="1">
      <c r="B678" s="8"/>
      <c r="C678" s="8"/>
      <c r="D678" s="8"/>
      <c r="E678" s="8"/>
      <c r="F678" s="8"/>
      <c r="G678" s="8"/>
      <c r="H678" s="8"/>
      <c r="I678" s="8"/>
    </row>
    <row r="679" spans="2:9" hidden="1">
      <c r="B679" s="8"/>
      <c r="C679" s="8"/>
      <c r="D679" s="8"/>
      <c r="E679" s="8"/>
      <c r="F679" s="8"/>
      <c r="G679" s="8"/>
      <c r="H679" s="8"/>
      <c r="I679" s="8"/>
    </row>
    <row r="680" spans="2:9" hidden="1">
      <c r="B680" s="8"/>
      <c r="C680" s="8"/>
      <c r="D680" s="8"/>
      <c r="E680" s="8"/>
      <c r="F680" s="8"/>
      <c r="G680" s="8"/>
      <c r="H680" s="8"/>
      <c r="I680" s="8"/>
    </row>
    <row r="681" spans="2:9" hidden="1">
      <c r="B681" s="8"/>
      <c r="C681" s="8"/>
      <c r="D681" s="8"/>
      <c r="E681" s="8"/>
      <c r="F681" s="8"/>
      <c r="G681" s="8"/>
      <c r="H681" s="8"/>
      <c r="I681" s="8"/>
    </row>
    <row r="682" spans="2:9" hidden="1">
      <c r="B682" s="8"/>
      <c r="C682" s="8"/>
      <c r="D682" s="8"/>
      <c r="E682" s="8"/>
      <c r="F682" s="8"/>
      <c r="G682" s="8"/>
      <c r="H682" s="8"/>
      <c r="I682" s="8"/>
    </row>
    <row r="683" spans="2:9" hidden="1">
      <c r="B683" s="8"/>
      <c r="C683" s="8"/>
      <c r="D683" s="8"/>
      <c r="E683" s="8"/>
      <c r="F683" s="8"/>
      <c r="G683" s="8"/>
      <c r="H683" s="8"/>
      <c r="I683" s="8"/>
    </row>
    <row r="684" spans="2:9" hidden="1">
      <c r="B684" s="8"/>
      <c r="C684" s="8"/>
      <c r="D684" s="8"/>
      <c r="E684" s="8"/>
      <c r="F684" s="8"/>
      <c r="G684" s="8"/>
      <c r="H684" s="8"/>
      <c r="I684" s="8"/>
    </row>
    <row r="685" spans="2:9" hidden="1">
      <c r="B685" s="8"/>
      <c r="C685" s="8"/>
      <c r="D685" s="8"/>
      <c r="E685" s="8"/>
      <c r="F685" s="8"/>
      <c r="G685" s="8"/>
      <c r="H685" s="8"/>
      <c r="I685" s="8"/>
    </row>
    <row r="686" spans="2:9" hidden="1">
      <c r="B686" s="8"/>
      <c r="C686" s="8"/>
      <c r="D686" s="8"/>
      <c r="E686" s="8"/>
      <c r="F686" s="8"/>
      <c r="G686" s="8"/>
      <c r="H686" s="8"/>
      <c r="I686" s="8"/>
    </row>
    <row r="687" spans="2:9" hidden="1">
      <c r="B687" s="8"/>
      <c r="C687" s="8"/>
      <c r="D687" s="8"/>
      <c r="E687" s="8"/>
      <c r="F687" s="8"/>
      <c r="G687" s="8"/>
      <c r="H687" s="8"/>
      <c r="I687" s="8"/>
    </row>
    <row r="688" spans="2:9" hidden="1">
      <c r="B688" s="8"/>
      <c r="C688" s="8"/>
      <c r="D688" s="8"/>
      <c r="E688" s="8"/>
      <c r="F688" s="8"/>
      <c r="G688" s="8"/>
      <c r="H688" s="8"/>
      <c r="I688" s="8"/>
    </row>
    <row r="689" spans="2:9" hidden="1">
      <c r="B689" s="8"/>
      <c r="C689" s="8"/>
      <c r="D689" s="8"/>
      <c r="E689" s="8"/>
      <c r="F689" s="8"/>
      <c r="G689" s="8"/>
      <c r="H689" s="8"/>
      <c r="I689" s="8"/>
    </row>
    <row r="690" spans="2:9" hidden="1">
      <c r="B690" s="8"/>
      <c r="C690" s="8"/>
      <c r="D690" s="8"/>
      <c r="E690" s="8"/>
      <c r="F690" s="8"/>
      <c r="G690" s="8"/>
      <c r="H690" s="8"/>
      <c r="I690" s="8"/>
    </row>
    <row r="691" spans="2:9" hidden="1">
      <c r="B691" s="8"/>
      <c r="C691" s="8"/>
      <c r="D691" s="8"/>
      <c r="E691" s="8"/>
      <c r="F691" s="8"/>
      <c r="G691" s="8"/>
      <c r="H691" s="8"/>
      <c r="I691" s="8"/>
    </row>
    <row r="692" spans="2:9" hidden="1">
      <c r="B692" s="8"/>
      <c r="C692" s="8"/>
      <c r="D692" s="8"/>
      <c r="E692" s="8"/>
      <c r="F692" s="8"/>
      <c r="G692" s="8"/>
      <c r="H692" s="8"/>
      <c r="I692" s="8"/>
    </row>
    <row r="693" spans="2:9" hidden="1">
      <c r="B693" s="8"/>
      <c r="C693" s="8"/>
      <c r="D693" s="8"/>
      <c r="E693" s="8"/>
      <c r="F693" s="8"/>
      <c r="G693" s="8"/>
      <c r="H693" s="8"/>
      <c r="I693" s="8"/>
    </row>
    <row r="694" spans="2:9" hidden="1">
      <c r="B694" s="8"/>
      <c r="C694" s="8"/>
      <c r="D694" s="8"/>
      <c r="E694" s="8"/>
      <c r="F694" s="8"/>
      <c r="G694" s="8"/>
      <c r="H694" s="8"/>
      <c r="I694" s="8"/>
    </row>
    <row r="695" spans="2:9" hidden="1">
      <c r="B695" s="8"/>
      <c r="C695" s="8"/>
      <c r="D695" s="8"/>
      <c r="E695" s="8"/>
      <c r="F695" s="8"/>
      <c r="G695" s="8"/>
      <c r="H695" s="8"/>
      <c r="I695" s="8"/>
    </row>
    <row r="696" spans="2:9" hidden="1">
      <c r="B696" s="8"/>
      <c r="C696" s="8"/>
      <c r="D696" s="8"/>
      <c r="E696" s="8"/>
      <c r="F696" s="8"/>
      <c r="G696" s="8"/>
      <c r="H696" s="8"/>
      <c r="I696" s="8"/>
    </row>
    <row r="697" spans="2:9" hidden="1">
      <c r="B697" s="8"/>
      <c r="C697" s="8"/>
      <c r="D697" s="8"/>
      <c r="E697" s="8"/>
      <c r="F697" s="8"/>
      <c r="G697" s="8"/>
      <c r="H697" s="8"/>
      <c r="I697" s="8"/>
    </row>
    <row r="698" spans="2:9" hidden="1">
      <c r="B698" s="8"/>
      <c r="C698" s="8"/>
      <c r="D698" s="8"/>
      <c r="E698" s="8"/>
      <c r="F698" s="8"/>
      <c r="G698" s="8"/>
      <c r="H698" s="8"/>
      <c r="I698" s="8"/>
    </row>
    <row r="699" spans="2:9" hidden="1">
      <c r="B699" s="8"/>
      <c r="C699" s="8"/>
      <c r="D699" s="8"/>
      <c r="E699" s="8"/>
      <c r="F699" s="8"/>
      <c r="G699" s="8"/>
      <c r="H699" s="8"/>
      <c r="I699" s="8"/>
    </row>
    <row r="700" spans="2:9" hidden="1">
      <c r="B700" s="8"/>
      <c r="C700" s="8"/>
      <c r="D700" s="8"/>
      <c r="E700" s="8"/>
      <c r="F700" s="8"/>
      <c r="G700" s="8"/>
      <c r="H700" s="8"/>
      <c r="I700" s="8"/>
    </row>
    <row r="701" spans="2:9" hidden="1">
      <c r="B701" s="8"/>
      <c r="C701" s="8"/>
      <c r="D701" s="8"/>
      <c r="E701" s="8"/>
      <c r="F701" s="8"/>
      <c r="G701" s="8"/>
      <c r="H701" s="8"/>
      <c r="I701" s="8"/>
    </row>
    <row r="702" spans="2:9" hidden="1">
      <c r="B702" s="8"/>
      <c r="C702" s="8"/>
      <c r="D702" s="8"/>
      <c r="E702" s="8"/>
      <c r="F702" s="8"/>
      <c r="G702" s="8"/>
      <c r="H702" s="8"/>
      <c r="I702" s="8"/>
    </row>
    <row r="703" spans="2:9" hidden="1">
      <c r="B703" s="8"/>
      <c r="C703" s="8"/>
      <c r="D703" s="8"/>
      <c r="E703" s="8"/>
      <c r="F703" s="8"/>
      <c r="G703" s="8"/>
      <c r="H703" s="8"/>
      <c r="I703" s="8"/>
    </row>
    <row r="704" spans="2:9" hidden="1">
      <c r="B704" s="8"/>
      <c r="C704" s="8"/>
      <c r="D704" s="8"/>
      <c r="E704" s="8"/>
      <c r="F704" s="8"/>
      <c r="G704" s="8"/>
      <c r="H704" s="8"/>
      <c r="I704" s="8"/>
    </row>
    <row r="705" spans="2:9" hidden="1">
      <c r="B705" s="8"/>
      <c r="C705" s="8"/>
      <c r="D705" s="8"/>
      <c r="E705" s="8"/>
      <c r="F705" s="8"/>
      <c r="G705" s="8"/>
      <c r="H705" s="8"/>
      <c r="I705" s="8"/>
    </row>
    <row r="706" spans="2:9" hidden="1">
      <c r="B706" s="8"/>
      <c r="C706" s="8"/>
      <c r="D706" s="8"/>
      <c r="E706" s="8"/>
      <c r="F706" s="8"/>
      <c r="G706" s="8"/>
      <c r="H706" s="8"/>
      <c r="I706" s="8"/>
    </row>
    <row r="707" spans="2:9" hidden="1">
      <c r="B707" s="8"/>
      <c r="C707" s="8"/>
      <c r="D707" s="8"/>
      <c r="E707" s="8"/>
      <c r="F707" s="8"/>
      <c r="G707" s="8"/>
      <c r="H707" s="8"/>
      <c r="I707" s="8"/>
    </row>
    <row r="708" spans="2:9" hidden="1">
      <c r="B708" s="8"/>
      <c r="C708" s="8"/>
      <c r="D708" s="8"/>
      <c r="E708" s="8"/>
      <c r="F708" s="8"/>
      <c r="G708" s="8"/>
      <c r="H708" s="8"/>
      <c r="I708" s="8"/>
    </row>
    <row r="709" spans="2:9" hidden="1">
      <c r="B709" s="8"/>
      <c r="C709" s="8"/>
      <c r="D709" s="8"/>
      <c r="E709" s="8"/>
      <c r="F709" s="8"/>
      <c r="G709" s="8"/>
      <c r="H709" s="8"/>
      <c r="I709" s="8"/>
    </row>
    <row r="710" spans="2:9" hidden="1">
      <c r="B710" s="8"/>
      <c r="C710" s="8"/>
      <c r="D710" s="8"/>
      <c r="E710" s="8"/>
      <c r="F710" s="8"/>
      <c r="G710" s="8"/>
      <c r="H710" s="8"/>
      <c r="I710" s="8"/>
    </row>
    <row r="711" spans="2:9" hidden="1">
      <c r="B711" s="8"/>
      <c r="C711" s="8"/>
      <c r="D711" s="8"/>
      <c r="E711" s="8"/>
      <c r="F711" s="8"/>
      <c r="G711" s="8"/>
      <c r="H711" s="8"/>
      <c r="I711" s="8"/>
    </row>
    <row r="712" spans="2:9" hidden="1">
      <c r="B712" s="8"/>
      <c r="C712" s="8"/>
      <c r="D712" s="8"/>
      <c r="E712" s="8"/>
      <c r="F712" s="8"/>
      <c r="G712" s="8"/>
      <c r="H712" s="8"/>
      <c r="I712" s="8"/>
    </row>
    <row r="713" spans="2:9" hidden="1">
      <c r="B713" s="8"/>
      <c r="C713" s="8"/>
      <c r="D713" s="8"/>
      <c r="E713" s="8"/>
      <c r="F713" s="8"/>
      <c r="G713" s="8"/>
      <c r="H713" s="8"/>
      <c r="I713" s="8"/>
    </row>
    <row r="714" spans="2:9" hidden="1">
      <c r="B714" s="8"/>
      <c r="C714" s="8"/>
      <c r="D714" s="8"/>
      <c r="E714" s="8"/>
      <c r="F714" s="8"/>
      <c r="G714" s="8"/>
      <c r="H714" s="8"/>
      <c r="I714" s="8"/>
    </row>
    <row r="715" spans="2:9" hidden="1">
      <c r="B715" s="8"/>
      <c r="C715" s="8"/>
      <c r="D715" s="8"/>
      <c r="E715" s="8"/>
      <c r="F715" s="8"/>
      <c r="G715" s="8"/>
      <c r="H715" s="8"/>
      <c r="I715" s="8"/>
    </row>
    <row r="716" spans="2:9" hidden="1">
      <c r="B716" s="8"/>
      <c r="C716" s="8"/>
      <c r="D716" s="8"/>
      <c r="E716" s="8"/>
      <c r="F716" s="8"/>
      <c r="G716" s="8"/>
      <c r="H716" s="8"/>
      <c r="I716" s="8"/>
    </row>
    <row r="717" spans="2:9" hidden="1">
      <c r="B717" s="8"/>
      <c r="C717" s="8"/>
      <c r="D717" s="8"/>
      <c r="E717" s="8"/>
      <c r="F717" s="8"/>
      <c r="G717" s="8"/>
      <c r="H717" s="8"/>
      <c r="I717" s="8"/>
    </row>
    <row r="718" spans="2:9" hidden="1">
      <c r="B718" s="8"/>
      <c r="C718" s="8"/>
      <c r="D718" s="8"/>
      <c r="E718" s="8"/>
      <c r="F718" s="8"/>
      <c r="G718" s="8"/>
      <c r="H718" s="8"/>
      <c r="I718" s="8"/>
    </row>
    <row r="719" spans="2:9" hidden="1">
      <c r="B719" s="8"/>
      <c r="C719" s="8"/>
      <c r="D719" s="8"/>
      <c r="E719" s="8"/>
      <c r="F719" s="8"/>
      <c r="G719" s="8"/>
      <c r="H719" s="8"/>
      <c r="I719" s="8"/>
    </row>
    <row r="720" spans="2:9" hidden="1">
      <c r="B720" s="8"/>
      <c r="C720" s="8"/>
      <c r="D720" s="8"/>
      <c r="E720" s="8"/>
      <c r="F720" s="8"/>
      <c r="G720" s="8"/>
      <c r="H720" s="8"/>
      <c r="I720" s="8"/>
    </row>
    <row r="721" spans="2:9" hidden="1">
      <c r="B721" s="8"/>
      <c r="C721" s="8"/>
      <c r="D721" s="8"/>
      <c r="E721" s="8"/>
      <c r="F721" s="8"/>
      <c r="G721" s="8"/>
      <c r="H721" s="8"/>
      <c r="I721" s="8"/>
    </row>
    <row r="722" spans="2:9" hidden="1">
      <c r="B722" s="8"/>
      <c r="C722" s="8"/>
      <c r="D722" s="8"/>
      <c r="E722" s="8"/>
      <c r="F722" s="8"/>
      <c r="G722" s="8"/>
      <c r="H722" s="8"/>
      <c r="I722" s="8"/>
    </row>
    <row r="723" spans="2:9" hidden="1">
      <c r="B723" s="8"/>
      <c r="C723" s="8"/>
      <c r="D723" s="8"/>
      <c r="E723" s="8"/>
      <c r="F723" s="8"/>
      <c r="G723" s="8"/>
      <c r="H723" s="8"/>
      <c r="I723" s="8"/>
    </row>
    <row r="724" spans="2:9" hidden="1">
      <c r="B724" s="8"/>
      <c r="C724" s="8"/>
      <c r="D724" s="8"/>
      <c r="E724" s="8"/>
      <c r="F724" s="8"/>
      <c r="G724" s="8"/>
      <c r="H724" s="8"/>
      <c r="I724" s="8"/>
    </row>
    <row r="725" spans="2:9" hidden="1">
      <c r="B725" s="8"/>
      <c r="C725" s="8"/>
      <c r="D725" s="8"/>
      <c r="E725" s="8"/>
      <c r="F725" s="8"/>
      <c r="G725" s="8"/>
      <c r="H725" s="8"/>
      <c r="I725" s="8"/>
    </row>
    <row r="726" spans="2:9" hidden="1">
      <c r="B726" s="8"/>
      <c r="C726" s="8"/>
      <c r="D726" s="8"/>
      <c r="E726" s="8"/>
      <c r="F726" s="8"/>
      <c r="G726" s="8"/>
      <c r="H726" s="8"/>
      <c r="I726" s="8"/>
    </row>
    <row r="727" spans="2:9" hidden="1">
      <c r="B727" s="8"/>
      <c r="C727" s="8"/>
      <c r="D727" s="8"/>
      <c r="E727" s="8"/>
      <c r="F727" s="8"/>
      <c r="G727" s="8"/>
      <c r="H727" s="8"/>
      <c r="I727" s="8"/>
    </row>
    <row r="728" spans="2:9" hidden="1">
      <c r="B728" s="8"/>
      <c r="C728" s="8"/>
      <c r="D728" s="8"/>
      <c r="E728" s="8"/>
      <c r="F728" s="8"/>
      <c r="G728" s="8"/>
      <c r="H728" s="8"/>
      <c r="I728" s="8"/>
    </row>
    <row r="729" spans="2:9" hidden="1">
      <c r="B729" s="8"/>
      <c r="C729" s="8"/>
      <c r="D729" s="8"/>
      <c r="E729" s="8"/>
      <c r="F729" s="8"/>
      <c r="G729" s="8"/>
      <c r="H729" s="8"/>
      <c r="I729" s="8"/>
    </row>
    <row r="730" spans="2:9" hidden="1">
      <c r="B730" s="8"/>
      <c r="C730" s="8"/>
      <c r="D730" s="8"/>
      <c r="E730" s="8"/>
      <c r="F730" s="8"/>
      <c r="G730" s="8"/>
      <c r="H730" s="8"/>
      <c r="I730" s="8"/>
    </row>
    <row r="731" spans="2:9" hidden="1">
      <c r="B731" s="8"/>
      <c r="C731" s="8"/>
      <c r="D731" s="8"/>
      <c r="E731" s="8"/>
      <c r="F731" s="8"/>
      <c r="G731" s="8"/>
      <c r="H731" s="8"/>
      <c r="I731" s="8"/>
    </row>
    <row r="732" spans="2:9" hidden="1">
      <c r="B732" s="8"/>
      <c r="C732" s="8"/>
      <c r="D732" s="8"/>
      <c r="E732" s="8"/>
      <c r="F732" s="8"/>
      <c r="G732" s="8"/>
      <c r="H732" s="8"/>
      <c r="I732" s="8"/>
    </row>
    <row r="733" spans="2:9" hidden="1">
      <c r="B733" s="8"/>
      <c r="C733" s="8"/>
      <c r="D733" s="8"/>
      <c r="E733" s="8"/>
      <c r="F733" s="8"/>
      <c r="G733" s="8"/>
      <c r="H733" s="8"/>
      <c r="I733" s="8"/>
    </row>
    <row r="734" spans="2:9" hidden="1">
      <c r="B734" s="8"/>
      <c r="C734" s="8"/>
      <c r="D734" s="8"/>
      <c r="E734" s="8"/>
      <c r="F734" s="8"/>
      <c r="G734" s="8"/>
      <c r="H734" s="8"/>
      <c r="I734" s="8"/>
    </row>
    <row r="735" spans="2:9" hidden="1">
      <c r="B735" s="8"/>
      <c r="C735" s="8"/>
      <c r="D735" s="8"/>
      <c r="E735" s="8"/>
      <c r="F735" s="8"/>
      <c r="G735" s="8"/>
      <c r="H735" s="8"/>
      <c r="I735" s="8"/>
    </row>
    <row r="736" spans="2:9" hidden="1">
      <c r="B736" s="8"/>
      <c r="C736" s="8"/>
      <c r="D736" s="8"/>
      <c r="E736" s="8"/>
      <c r="F736" s="8"/>
      <c r="G736" s="8"/>
      <c r="H736" s="8"/>
      <c r="I736" s="8"/>
    </row>
    <row r="737" spans="2:9" hidden="1">
      <c r="B737" s="8"/>
      <c r="C737" s="8"/>
      <c r="D737" s="8"/>
      <c r="E737" s="8"/>
      <c r="F737" s="8"/>
      <c r="G737" s="8"/>
      <c r="H737" s="8"/>
      <c r="I737" s="8"/>
    </row>
    <row r="738" spans="2:9" hidden="1">
      <c r="B738" s="8"/>
      <c r="C738" s="8"/>
      <c r="D738" s="8"/>
      <c r="E738" s="8"/>
      <c r="F738" s="8"/>
      <c r="G738" s="8"/>
      <c r="H738" s="8"/>
      <c r="I738" s="8"/>
    </row>
    <row r="739" spans="2:9" hidden="1">
      <c r="B739" s="8"/>
      <c r="C739" s="8"/>
      <c r="D739" s="8"/>
      <c r="E739" s="8"/>
      <c r="F739" s="8"/>
      <c r="G739" s="8"/>
      <c r="H739" s="8"/>
      <c r="I739" s="8"/>
    </row>
    <row r="740" spans="2:9" hidden="1">
      <c r="B740" s="8"/>
      <c r="C740" s="8"/>
      <c r="D740" s="8"/>
      <c r="E740" s="8"/>
      <c r="F740" s="8"/>
      <c r="G740" s="8"/>
      <c r="H740" s="8"/>
      <c r="I740" s="8"/>
    </row>
    <row r="741" spans="2:9" hidden="1">
      <c r="B741" s="8"/>
      <c r="C741" s="8"/>
      <c r="D741" s="8"/>
      <c r="E741" s="8"/>
      <c r="F741" s="8"/>
      <c r="G741" s="8"/>
      <c r="H741" s="8"/>
      <c r="I741" s="8"/>
    </row>
    <row r="742" spans="2:9" hidden="1">
      <c r="B742" s="8"/>
      <c r="C742" s="8"/>
      <c r="D742" s="8"/>
      <c r="E742" s="8"/>
      <c r="F742" s="8"/>
      <c r="G742" s="8"/>
      <c r="H742" s="8"/>
      <c r="I742" s="8"/>
    </row>
    <row r="743" spans="2:9" hidden="1">
      <c r="B743" s="8"/>
      <c r="C743" s="8"/>
      <c r="D743" s="8"/>
      <c r="E743" s="8"/>
      <c r="F743" s="8"/>
      <c r="G743" s="8"/>
      <c r="H743" s="8"/>
      <c r="I743" s="8"/>
    </row>
    <row r="744" spans="2:9" hidden="1">
      <c r="B744" s="8"/>
      <c r="C744" s="8"/>
      <c r="D744" s="8"/>
      <c r="E744" s="8"/>
      <c r="F744" s="8"/>
      <c r="G744" s="8"/>
      <c r="H744" s="8"/>
      <c r="I744" s="8"/>
    </row>
    <row r="745" spans="2:9" hidden="1">
      <c r="B745" s="8"/>
      <c r="C745" s="8"/>
      <c r="D745" s="8"/>
      <c r="E745" s="8"/>
      <c r="F745" s="8"/>
      <c r="G745" s="8"/>
      <c r="H745" s="8"/>
      <c r="I745" s="8"/>
    </row>
    <row r="746" spans="2:9" hidden="1">
      <c r="B746" s="8"/>
      <c r="C746" s="8"/>
      <c r="D746" s="8"/>
      <c r="E746" s="8"/>
      <c r="F746" s="8"/>
      <c r="G746" s="8"/>
      <c r="H746" s="8"/>
      <c r="I746" s="8"/>
    </row>
    <row r="747" spans="2:9" hidden="1">
      <c r="B747" s="8"/>
      <c r="C747" s="8"/>
      <c r="D747" s="8"/>
      <c r="E747" s="8"/>
      <c r="F747" s="8"/>
      <c r="G747" s="8"/>
      <c r="H747" s="8"/>
      <c r="I747" s="8"/>
    </row>
    <row r="748" spans="2:9" hidden="1">
      <c r="B748" s="8"/>
      <c r="C748" s="8"/>
      <c r="D748" s="8"/>
      <c r="E748" s="8"/>
      <c r="F748" s="8"/>
      <c r="G748" s="8"/>
      <c r="H748" s="8"/>
      <c r="I748" s="8"/>
    </row>
    <row r="749" spans="2:9" hidden="1">
      <c r="B749" s="8"/>
      <c r="C749" s="8"/>
      <c r="D749" s="8"/>
      <c r="E749" s="8"/>
      <c r="F749" s="8"/>
      <c r="G749" s="8"/>
      <c r="H749" s="8"/>
      <c r="I749" s="8"/>
    </row>
    <row r="750" spans="2:9" hidden="1">
      <c r="B750" s="8"/>
      <c r="C750" s="8"/>
      <c r="D750" s="8"/>
      <c r="E750" s="8"/>
      <c r="F750" s="8"/>
      <c r="G750" s="8"/>
      <c r="H750" s="8"/>
      <c r="I750" s="8"/>
    </row>
    <row r="751" spans="2:9" hidden="1">
      <c r="B751" s="8"/>
      <c r="C751" s="8"/>
      <c r="D751" s="8"/>
      <c r="E751" s="8"/>
      <c r="F751" s="8"/>
      <c r="G751" s="8"/>
      <c r="H751" s="8"/>
      <c r="I751" s="8"/>
    </row>
    <row r="752" spans="2:9" hidden="1">
      <c r="B752" s="8"/>
      <c r="C752" s="8"/>
      <c r="D752" s="8"/>
      <c r="E752" s="8"/>
      <c r="F752" s="8"/>
      <c r="G752" s="8"/>
      <c r="H752" s="8"/>
      <c r="I752" s="8"/>
    </row>
    <row r="753" spans="2:9" hidden="1">
      <c r="B753" s="8"/>
      <c r="C753" s="8"/>
      <c r="D753" s="8"/>
      <c r="E753" s="8"/>
      <c r="F753" s="8"/>
      <c r="G753" s="8"/>
      <c r="H753" s="8"/>
      <c r="I753" s="8"/>
    </row>
    <row r="754" spans="2:9" hidden="1">
      <c r="B754" s="8"/>
      <c r="C754" s="8"/>
      <c r="D754" s="8"/>
      <c r="E754" s="8"/>
      <c r="F754" s="8"/>
      <c r="G754" s="8"/>
      <c r="H754" s="8"/>
      <c r="I754" s="8"/>
    </row>
    <row r="755" spans="2:9" hidden="1">
      <c r="B755" s="8"/>
      <c r="C755" s="8"/>
      <c r="D755" s="8"/>
      <c r="E755" s="8"/>
      <c r="F755" s="8"/>
      <c r="G755" s="8"/>
      <c r="H755" s="8"/>
      <c r="I755" s="8"/>
    </row>
    <row r="756" spans="2:9" hidden="1">
      <c r="B756" s="8"/>
      <c r="C756" s="8"/>
      <c r="D756" s="8"/>
      <c r="E756" s="8"/>
      <c r="F756" s="8"/>
      <c r="G756" s="8"/>
      <c r="H756" s="8"/>
      <c r="I756" s="8"/>
    </row>
    <row r="757" spans="2:9" hidden="1">
      <c r="B757" s="8"/>
      <c r="C757" s="8"/>
      <c r="D757" s="8"/>
      <c r="E757" s="8"/>
      <c r="F757" s="8"/>
      <c r="G757" s="8"/>
      <c r="H757" s="8"/>
      <c r="I757" s="8"/>
    </row>
    <row r="758" spans="2:9" hidden="1">
      <c r="B758" s="8"/>
      <c r="C758" s="8"/>
      <c r="D758" s="8"/>
      <c r="E758" s="8"/>
      <c r="F758" s="8"/>
      <c r="G758" s="8"/>
      <c r="H758" s="8"/>
      <c r="I758" s="8"/>
    </row>
    <row r="759" spans="2:9" hidden="1">
      <c r="B759" s="8"/>
      <c r="C759" s="8"/>
      <c r="D759" s="8"/>
      <c r="E759" s="8"/>
      <c r="F759" s="8"/>
      <c r="G759" s="8"/>
      <c r="H759" s="8"/>
      <c r="I759" s="8"/>
    </row>
    <row r="760" spans="2:9" hidden="1">
      <c r="B760" s="8"/>
      <c r="C760" s="8"/>
      <c r="D760" s="8"/>
      <c r="E760" s="8"/>
      <c r="F760" s="8"/>
      <c r="G760" s="8"/>
      <c r="H760" s="8"/>
      <c r="I760" s="8"/>
    </row>
    <row r="761" spans="2:9" hidden="1">
      <c r="B761" s="8"/>
      <c r="C761" s="8"/>
      <c r="D761" s="8"/>
      <c r="E761" s="8"/>
      <c r="F761" s="8"/>
      <c r="G761" s="8"/>
      <c r="H761" s="8"/>
      <c r="I761" s="8"/>
    </row>
    <row r="762" spans="2:9" hidden="1">
      <c r="B762" s="8"/>
      <c r="C762" s="8"/>
      <c r="D762" s="8"/>
      <c r="E762" s="8"/>
      <c r="F762" s="8"/>
      <c r="G762" s="8"/>
      <c r="H762" s="8"/>
      <c r="I762" s="8"/>
    </row>
    <row r="763" spans="2:9" hidden="1">
      <c r="B763" s="8"/>
      <c r="C763" s="8"/>
      <c r="D763" s="8"/>
      <c r="E763" s="8"/>
      <c r="F763" s="8"/>
      <c r="G763" s="8"/>
      <c r="H763" s="8"/>
      <c r="I763" s="8"/>
    </row>
    <row r="764" spans="2:9" hidden="1">
      <c r="B764" s="8"/>
      <c r="C764" s="8"/>
      <c r="D764" s="8"/>
      <c r="E764" s="8"/>
      <c r="F764" s="8"/>
      <c r="G764" s="8"/>
      <c r="H764" s="8"/>
      <c r="I764" s="8"/>
    </row>
    <row r="765" spans="2:9" hidden="1">
      <c r="B765" s="8"/>
      <c r="C765" s="8"/>
      <c r="D765" s="8"/>
      <c r="E765" s="8"/>
      <c r="F765" s="8"/>
      <c r="G765" s="8"/>
      <c r="H765" s="8"/>
      <c r="I765" s="8"/>
    </row>
    <row r="766" spans="2:9" hidden="1">
      <c r="B766" s="8"/>
      <c r="C766" s="8"/>
      <c r="D766" s="8"/>
      <c r="E766" s="8"/>
      <c r="F766" s="8"/>
      <c r="G766" s="8"/>
      <c r="H766" s="8"/>
      <c r="I766" s="8"/>
    </row>
    <row r="767" spans="2:9" hidden="1">
      <c r="B767" s="8"/>
      <c r="C767" s="8"/>
      <c r="D767" s="8"/>
      <c r="E767" s="8"/>
      <c r="F767" s="8"/>
      <c r="G767" s="8"/>
      <c r="H767" s="8"/>
      <c r="I767" s="8"/>
    </row>
    <row r="768" spans="2:9" hidden="1">
      <c r="B768" s="8"/>
      <c r="C768" s="8"/>
      <c r="D768" s="8"/>
      <c r="E768" s="8"/>
      <c r="F768" s="8"/>
      <c r="G768" s="8"/>
      <c r="H768" s="8"/>
      <c r="I768" s="8"/>
    </row>
    <row r="769" spans="2:9" hidden="1">
      <c r="B769" s="8"/>
      <c r="C769" s="8"/>
      <c r="D769" s="8"/>
      <c r="E769" s="8"/>
      <c r="F769" s="8"/>
      <c r="G769" s="8"/>
      <c r="H769" s="8"/>
      <c r="I769" s="8"/>
    </row>
    <row r="770" spans="2:9" hidden="1">
      <c r="B770" s="8"/>
      <c r="C770" s="8"/>
      <c r="D770" s="8"/>
      <c r="E770" s="8"/>
      <c r="F770" s="8"/>
      <c r="G770" s="8"/>
      <c r="H770" s="8"/>
      <c r="I770" s="8"/>
    </row>
    <row r="771" spans="2:9" hidden="1">
      <c r="B771" s="8"/>
      <c r="C771" s="8"/>
      <c r="D771" s="8"/>
      <c r="E771" s="8"/>
      <c r="F771" s="8"/>
      <c r="G771" s="8"/>
      <c r="H771" s="8"/>
      <c r="I771" s="8"/>
    </row>
    <row r="772" spans="2:9" hidden="1">
      <c r="B772" s="8"/>
      <c r="C772" s="8"/>
      <c r="D772" s="8"/>
      <c r="E772" s="8"/>
      <c r="F772" s="8"/>
      <c r="G772" s="8"/>
      <c r="H772" s="8"/>
      <c r="I772" s="8"/>
    </row>
    <row r="773" spans="2:9" hidden="1">
      <c r="B773" s="8"/>
      <c r="C773" s="8"/>
      <c r="D773" s="8"/>
      <c r="E773" s="8"/>
      <c r="F773" s="8"/>
      <c r="G773" s="8"/>
      <c r="H773" s="8"/>
      <c r="I773" s="8"/>
    </row>
    <row r="774" spans="2:9" hidden="1">
      <c r="B774" s="8"/>
      <c r="C774" s="8"/>
      <c r="D774" s="8"/>
      <c r="E774" s="8"/>
      <c r="F774" s="8"/>
      <c r="G774" s="8"/>
      <c r="H774" s="8"/>
      <c r="I774" s="8"/>
    </row>
    <row r="775" spans="2:9" hidden="1">
      <c r="B775" s="8"/>
      <c r="C775" s="8"/>
      <c r="D775" s="8"/>
      <c r="E775" s="8"/>
      <c r="F775" s="8"/>
      <c r="G775" s="8"/>
      <c r="H775" s="8"/>
      <c r="I775" s="8"/>
    </row>
    <row r="776" spans="2:9" hidden="1">
      <c r="B776" s="8"/>
      <c r="C776" s="8"/>
      <c r="D776" s="8"/>
      <c r="E776" s="8"/>
      <c r="F776" s="8"/>
      <c r="G776" s="8"/>
      <c r="H776" s="8"/>
      <c r="I776" s="8"/>
    </row>
    <row r="777" spans="2:9" hidden="1">
      <c r="B777" s="8"/>
      <c r="C777" s="8"/>
      <c r="D777" s="8"/>
      <c r="E777" s="8"/>
      <c r="F777" s="8"/>
      <c r="G777" s="8"/>
      <c r="H777" s="8"/>
      <c r="I777" s="8"/>
    </row>
    <row r="778" spans="2:9" hidden="1">
      <c r="B778" s="8"/>
      <c r="C778" s="8"/>
      <c r="D778" s="8"/>
      <c r="E778" s="8"/>
      <c r="F778" s="8"/>
      <c r="G778" s="8"/>
      <c r="H778" s="8"/>
      <c r="I778" s="8"/>
    </row>
    <row r="779" spans="2:9" hidden="1">
      <c r="B779" s="8"/>
      <c r="C779" s="8"/>
      <c r="D779" s="8"/>
      <c r="E779" s="8"/>
      <c r="F779" s="8"/>
      <c r="G779" s="8"/>
      <c r="H779" s="8"/>
      <c r="I779" s="8"/>
    </row>
    <row r="780" spans="2:9" hidden="1">
      <c r="B780" s="8"/>
      <c r="C780" s="8"/>
      <c r="D780" s="8"/>
      <c r="E780" s="8"/>
      <c r="F780" s="8"/>
      <c r="G780" s="8"/>
      <c r="H780" s="8"/>
      <c r="I780" s="8"/>
    </row>
    <row r="781" spans="2:9" hidden="1">
      <c r="B781" s="8"/>
      <c r="C781" s="8"/>
      <c r="D781" s="8"/>
      <c r="E781" s="8"/>
      <c r="F781" s="8"/>
      <c r="G781" s="8"/>
      <c r="H781" s="8"/>
      <c r="I781" s="8"/>
    </row>
    <row r="782" spans="2:9" hidden="1">
      <c r="B782" s="8"/>
      <c r="C782" s="8"/>
      <c r="D782" s="8"/>
      <c r="E782" s="8"/>
      <c r="F782" s="8"/>
      <c r="G782" s="8"/>
      <c r="H782" s="8"/>
      <c r="I782" s="8"/>
    </row>
    <row r="783" spans="2:9" hidden="1">
      <c r="B783" s="8"/>
      <c r="C783" s="8"/>
      <c r="D783" s="8"/>
      <c r="E783" s="8"/>
      <c r="F783" s="8"/>
      <c r="G783" s="8"/>
      <c r="H783" s="8"/>
      <c r="I783" s="8"/>
    </row>
    <row r="784" spans="2:9" hidden="1">
      <c r="B784" s="8"/>
      <c r="C784" s="8"/>
      <c r="D784" s="8"/>
      <c r="E784" s="8"/>
      <c r="F784" s="8"/>
      <c r="G784" s="8"/>
      <c r="H784" s="8"/>
      <c r="I784" s="8"/>
    </row>
    <row r="785" spans="2:9" hidden="1">
      <c r="B785" s="8"/>
      <c r="C785" s="8"/>
      <c r="D785" s="8"/>
      <c r="E785" s="8"/>
      <c r="F785" s="8"/>
      <c r="G785" s="8"/>
      <c r="H785" s="8"/>
      <c r="I785" s="8"/>
    </row>
    <row r="786" spans="2:9" hidden="1">
      <c r="B786" s="8"/>
      <c r="C786" s="8"/>
      <c r="D786" s="8"/>
      <c r="E786" s="8"/>
      <c r="F786" s="8"/>
      <c r="G786" s="8"/>
      <c r="H786" s="8"/>
      <c r="I786" s="8"/>
    </row>
    <row r="787" spans="2:9" hidden="1">
      <c r="B787" s="8"/>
      <c r="C787" s="8"/>
      <c r="D787" s="8"/>
      <c r="E787" s="8"/>
      <c r="F787" s="8"/>
      <c r="G787" s="8"/>
      <c r="H787" s="8"/>
      <c r="I787" s="8"/>
    </row>
    <row r="788" spans="2:9" hidden="1">
      <c r="B788" s="8"/>
      <c r="C788" s="8"/>
      <c r="D788" s="8"/>
      <c r="E788" s="8"/>
      <c r="F788" s="8"/>
      <c r="G788" s="8"/>
      <c r="H788" s="8"/>
      <c r="I788" s="8"/>
    </row>
    <row r="789" spans="2:9" hidden="1">
      <c r="B789" s="8"/>
      <c r="C789" s="8"/>
      <c r="D789" s="8"/>
      <c r="E789" s="8"/>
      <c r="F789" s="8"/>
      <c r="G789" s="8"/>
      <c r="H789" s="8"/>
      <c r="I789" s="8"/>
    </row>
    <row r="790" spans="2:9" hidden="1">
      <c r="B790" s="8"/>
      <c r="C790" s="8"/>
      <c r="D790" s="8"/>
      <c r="E790" s="8"/>
      <c r="F790" s="8"/>
      <c r="G790" s="8"/>
      <c r="H790" s="8"/>
      <c r="I790" s="8"/>
    </row>
    <row r="791" spans="2:9" hidden="1">
      <c r="B791" s="8"/>
      <c r="C791" s="8"/>
      <c r="D791" s="8"/>
      <c r="E791" s="8"/>
      <c r="F791" s="8"/>
      <c r="G791" s="8"/>
      <c r="H791" s="8"/>
      <c r="I791" s="8"/>
    </row>
    <row r="792" spans="2:9" hidden="1">
      <c r="B792" s="8"/>
      <c r="C792" s="8"/>
      <c r="D792" s="8"/>
      <c r="E792" s="8"/>
      <c r="F792" s="8"/>
      <c r="G792" s="8"/>
      <c r="H792" s="8"/>
      <c r="I792" s="8"/>
    </row>
    <row r="793" spans="2:9" hidden="1">
      <c r="B793" s="8"/>
      <c r="C793" s="8"/>
      <c r="D793" s="8"/>
      <c r="E793" s="8"/>
      <c r="F793" s="8"/>
      <c r="G793" s="8"/>
      <c r="H793" s="8"/>
      <c r="I793" s="8"/>
    </row>
    <row r="794" spans="2:9" hidden="1">
      <c r="B794" s="8"/>
      <c r="C794" s="8"/>
      <c r="D794" s="8"/>
      <c r="E794" s="8"/>
      <c r="F794" s="8"/>
      <c r="G794" s="8"/>
      <c r="H794" s="8"/>
      <c r="I794" s="8"/>
    </row>
    <row r="795" spans="2:9" hidden="1">
      <c r="B795" s="8"/>
      <c r="C795" s="8"/>
      <c r="D795" s="8"/>
      <c r="E795" s="8"/>
      <c r="F795" s="8"/>
      <c r="G795" s="8"/>
      <c r="H795" s="8"/>
      <c r="I795" s="8"/>
    </row>
    <row r="796" spans="2:9" hidden="1">
      <c r="B796" s="8"/>
      <c r="C796" s="8"/>
      <c r="D796" s="8"/>
      <c r="E796" s="8"/>
      <c r="F796" s="8"/>
      <c r="G796" s="8"/>
      <c r="H796" s="8"/>
      <c r="I796" s="8"/>
    </row>
    <row r="797" spans="2:9" hidden="1">
      <c r="B797" s="8"/>
      <c r="C797" s="8"/>
      <c r="D797" s="8"/>
      <c r="E797" s="8"/>
      <c r="F797" s="8"/>
      <c r="G797" s="8"/>
      <c r="H797" s="8"/>
      <c r="I797" s="8"/>
    </row>
    <row r="798" spans="2:9" hidden="1">
      <c r="B798" s="8"/>
      <c r="C798" s="8"/>
      <c r="D798" s="8"/>
      <c r="E798" s="8"/>
      <c r="F798" s="8"/>
      <c r="G798" s="8"/>
      <c r="H798" s="8"/>
      <c r="I798" s="8"/>
    </row>
    <row r="799" spans="2:9" hidden="1">
      <c r="B799" s="8"/>
      <c r="C799" s="8"/>
      <c r="D799" s="8"/>
      <c r="E799" s="8"/>
      <c r="F799" s="8"/>
      <c r="G799" s="8"/>
      <c r="H799" s="8"/>
      <c r="I799" s="8"/>
    </row>
    <row r="800" spans="2:9" hidden="1">
      <c r="B800" s="8"/>
      <c r="C800" s="8"/>
      <c r="D800" s="8"/>
      <c r="E800" s="8"/>
      <c r="F800" s="8"/>
      <c r="G800" s="8"/>
      <c r="H800" s="8"/>
      <c r="I800" s="8"/>
    </row>
    <row r="801" spans="2:9" hidden="1">
      <c r="B801" s="8"/>
      <c r="C801" s="8"/>
      <c r="D801" s="8"/>
      <c r="E801" s="8"/>
      <c r="F801" s="8"/>
      <c r="G801" s="8"/>
      <c r="H801" s="8"/>
      <c r="I801" s="8"/>
    </row>
    <row r="802" spans="2:9" hidden="1">
      <c r="B802" s="8"/>
      <c r="C802" s="8"/>
      <c r="D802" s="8"/>
      <c r="E802" s="8"/>
      <c r="F802" s="8"/>
      <c r="G802" s="8"/>
      <c r="H802" s="8"/>
      <c r="I802" s="8"/>
    </row>
    <row r="803" spans="2:9" hidden="1">
      <c r="B803" s="8"/>
      <c r="C803" s="8"/>
      <c r="D803" s="8"/>
      <c r="E803" s="8"/>
      <c r="F803" s="8"/>
      <c r="G803" s="8"/>
      <c r="H803" s="8"/>
      <c r="I803" s="8"/>
    </row>
    <row r="804" spans="2:9" hidden="1">
      <c r="B804" s="8"/>
      <c r="C804" s="8"/>
      <c r="D804" s="8"/>
      <c r="E804" s="8"/>
      <c r="F804" s="8"/>
      <c r="G804" s="8"/>
      <c r="H804" s="8"/>
      <c r="I804" s="8"/>
    </row>
    <row r="805" spans="2:9" hidden="1">
      <c r="B805" s="8"/>
      <c r="C805" s="8"/>
      <c r="D805" s="8"/>
      <c r="E805" s="8"/>
      <c r="F805" s="8"/>
      <c r="G805" s="8"/>
      <c r="H805" s="8"/>
      <c r="I805" s="8"/>
    </row>
    <row r="806" spans="2:9" hidden="1">
      <c r="B806" s="8"/>
      <c r="C806" s="8"/>
      <c r="D806" s="8"/>
      <c r="E806" s="8"/>
      <c r="F806" s="8"/>
      <c r="G806" s="8"/>
      <c r="H806" s="8"/>
      <c r="I806" s="8"/>
    </row>
    <row r="807" spans="2:9" hidden="1">
      <c r="B807" s="8"/>
      <c r="C807" s="8"/>
      <c r="D807" s="8"/>
      <c r="E807" s="8"/>
      <c r="F807" s="8"/>
      <c r="G807" s="8"/>
      <c r="H807" s="8"/>
      <c r="I807" s="8"/>
    </row>
    <row r="808" spans="2:9" hidden="1">
      <c r="B808" s="8"/>
      <c r="C808" s="8"/>
      <c r="D808" s="8"/>
      <c r="E808" s="8"/>
      <c r="F808" s="8"/>
      <c r="G808" s="8"/>
      <c r="H808" s="8"/>
      <c r="I808" s="8"/>
    </row>
    <row r="809" spans="2:9" hidden="1">
      <c r="B809" s="8"/>
      <c r="C809" s="8"/>
      <c r="D809" s="8"/>
      <c r="E809" s="8"/>
      <c r="F809" s="8"/>
      <c r="G809" s="8"/>
      <c r="H809" s="8"/>
      <c r="I809" s="8"/>
    </row>
    <row r="810" spans="2:9" hidden="1">
      <c r="B810" s="8"/>
      <c r="C810" s="8"/>
      <c r="D810" s="8"/>
      <c r="E810" s="8"/>
      <c r="F810" s="8"/>
      <c r="G810" s="8"/>
      <c r="H810" s="8"/>
      <c r="I810" s="8"/>
    </row>
    <row r="811" spans="2:9" hidden="1">
      <c r="B811" s="8"/>
      <c r="C811" s="8"/>
      <c r="D811" s="8"/>
      <c r="E811" s="8"/>
      <c r="F811" s="8"/>
      <c r="G811" s="8"/>
      <c r="H811" s="8"/>
      <c r="I811" s="8"/>
    </row>
    <row r="812" spans="2:9" hidden="1">
      <c r="B812" s="8"/>
      <c r="C812" s="8"/>
      <c r="D812" s="8"/>
      <c r="E812" s="8"/>
      <c r="F812" s="8"/>
      <c r="G812" s="8"/>
      <c r="H812" s="8"/>
      <c r="I812" s="8"/>
    </row>
    <row r="813" spans="2:9" hidden="1">
      <c r="B813" s="8"/>
      <c r="C813" s="8"/>
      <c r="D813" s="8"/>
      <c r="E813" s="8"/>
      <c r="F813" s="8"/>
      <c r="G813" s="8"/>
      <c r="H813" s="8"/>
      <c r="I813" s="8"/>
    </row>
    <row r="814" spans="2:9" hidden="1">
      <c r="B814" s="8"/>
      <c r="C814" s="8"/>
      <c r="D814" s="8"/>
      <c r="E814" s="8"/>
      <c r="F814" s="8"/>
      <c r="G814" s="8"/>
      <c r="H814" s="8"/>
      <c r="I814" s="8"/>
    </row>
    <row r="815" spans="2:9" hidden="1">
      <c r="B815" s="8"/>
      <c r="C815" s="8"/>
      <c r="D815" s="8"/>
      <c r="E815" s="8"/>
      <c r="F815" s="8"/>
      <c r="G815" s="8"/>
      <c r="H815" s="8"/>
      <c r="I815" s="8"/>
    </row>
    <row r="816" spans="2:9" hidden="1">
      <c r="B816" s="8"/>
      <c r="C816" s="8"/>
      <c r="D816" s="8"/>
      <c r="E816" s="8"/>
      <c r="F816" s="8"/>
      <c r="G816" s="8"/>
      <c r="H816" s="8"/>
      <c r="I816" s="8"/>
    </row>
    <row r="817" spans="2:9" hidden="1">
      <c r="B817" s="8"/>
      <c r="C817" s="8"/>
      <c r="D817" s="8"/>
      <c r="E817" s="8"/>
      <c r="F817" s="8"/>
      <c r="G817" s="8"/>
      <c r="H817" s="8"/>
      <c r="I817" s="8"/>
    </row>
    <row r="818" spans="2:9" hidden="1">
      <c r="B818" s="8"/>
      <c r="C818" s="8"/>
      <c r="D818" s="8"/>
      <c r="E818" s="8"/>
      <c r="F818" s="8"/>
      <c r="G818" s="8"/>
      <c r="H818" s="8"/>
      <c r="I818" s="8"/>
    </row>
    <row r="819" spans="2:9" hidden="1">
      <c r="B819" s="8"/>
      <c r="C819" s="8"/>
      <c r="D819" s="8"/>
      <c r="E819" s="8"/>
      <c r="F819" s="8"/>
      <c r="G819" s="8"/>
      <c r="H819" s="8"/>
      <c r="I819" s="8"/>
    </row>
    <row r="820" spans="2:9" hidden="1">
      <c r="B820" s="8"/>
      <c r="C820" s="8"/>
      <c r="D820" s="8"/>
      <c r="E820" s="8"/>
      <c r="F820" s="8"/>
      <c r="G820" s="8"/>
      <c r="H820" s="8"/>
      <c r="I820" s="8"/>
    </row>
    <row r="821" spans="2:9" hidden="1">
      <c r="B821" s="8"/>
      <c r="C821" s="8"/>
      <c r="D821" s="8"/>
      <c r="E821" s="8"/>
      <c r="F821" s="8"/>
      <c r="G821" s="8"/>
      <c r="H821" s="8"/>
      <c r="I821" s="8"/>
    </row>
    <row r="822" spans="2:9" hidden="1">
      <c r="B822" s="8"/>
      <c r="C822" s="8"/>
      <c r="D822" s="8"/>
      <c r="E822" s="8"/>
      <c r="F822" s="8"/>
      <c r="G822" s="8"/>
      <c r="H822" s="8"/>
      <c r="I822" s="8"/>
    </row>
    <row r="823" spans="2:9" hidden="1">
      <c r="B823" s="8"/>
      <c r="C823" s="8"/>
      <c r="D823" s="8"/>
      <c r="E823" s="8"/>
      <c r="F823" s="8"/>
      <c r="G823" s="8"/>
      <c r="H823" s="8"/>
      <c r="I823" s="8"/>
    </row>
    <row r="824" spans="2:9" hidden="1">
      <c r="B824" s="8"/>
      <c r="C824" s="8"/>
      <c r="D824" s="8"/>
      <c r="E824" s="8"/>
      <c r="F824" s="8"/>
      <c r="G824" s="8"/>
      <c r="H824" s="8"/>
      <c r="I824" s="8"/>
    </row>
    <row r="825" spans="2:9" hidden="1">
      <c r="B825" s="8"/>
      <c r="C825" s="8"/>
      <c r="D825" s="8"/>
      <c r="E825" s="8"/>
      <c r="F825" s="8"/>
      <c r="G825" s="8"/>
      <c r="H825" s="8"/>
      <c r="I825" s="8"/>
    </row>
    <row r="826" spans="2:9" hidden="1">
      <c r="B826" s="8"/>
      <c r="C826" s="8"/>
      <c r="D826" s="8"/>
      <c r="E826" s="8"/>
      <c r="F826" s="8"/>
      <c r="G826" s="8"/>
      <c r="H826" s="8"/>
      <c r="I826" s="8"/>
    </row>
    <row r="827" spans="2:9" hidden="1">
      <c r="B827" s="8"/>
      <c r="C827" s="8"/>
      <c r="D827" s="8"/>
      <c r="E827" s="8"/>
      <c r="F827" s="8"/>
      <c r="G827" s="8"/>
      <c r="H827" s="8"/>
      <c r="I827" s="8"/>
    </row>
    <row r="828" spans="2:9" hidden="1">
      <c r="B828" s="8"/>
      <c r="C828" s="8"/>
      <c r="D828" s="8"/>
      <c r="E828" s="8"/>
      <c r="F828" s="8"/>
      <c r="G828" s="8"/>
      <c r="H828" s="8"/>
      <c r="I828" s="8"/>
    </row>
    <row r="829" spans="2:9" hidden="1">
      <c r="B829" s="8"/>
      <c r="C829" s="8"/>
      <c r="D829" s="8"/>
      <c r="E829" s="8"/>
      <c r="F829" s="8"/>
      <c r="G829" s="8"/>
      <c r="H829" s="8"/>
      <c r="I829" s="8"/>
    </row>
    <row r="830" spans="2:9" hidden="1">
      <c r="B830" s="8"/>
      <c r="C830" s="8"/>
      <c r="D830" s="8"/>
      <c r="E830" s="8"/>
      <c r="F830" s="8"/>
      <c r="G830" s="8"/>
      <c r="H830" s="8"/>
      <c r="I830" s="8"/>
    </row>
    <row r="831" spans="2:9" hidden="1">
      <c r="B831" s="8"/>
      <c r="C831" s="8"/>
      <c r="D831" s="8"/>
      <c r="E831" s="8"/>
      <c r="F831" s="8"/>
      <c r="G831" s="8"/>
      <c r="H831" s="8"/>
      <c r="I831" s="8"/>
    </row>
    <row r="832" spans="2:9" hidden="1">
      <c r="B832" s="8"/>
      <c r="C832" s="8"/>
      <c r="D832" s="8"/>
      <c r="E832" s="8"/>
      <c r="F832" s="8"/>
      <c r="G832" s="8"/>
      <c r="H832" s="8"/>
      <c r="I832" s="8"/>
    </row>
    <row r="833" spans="2:9" hidden="1">
      <c r="B833" s="8"/>
      <c r="C833" s="8"/>
      <c r="D833" s="8"/>
      <c r="E833" s="8"/>
      <c r="F833" s="8"/>
      <c r="G833" s="8"/>
      <c r="H833" s="8"/>
      <c r="I833" s="8"/>
    </row>
    <row r="834" spans="2:9" hidden="1">
      <c r="B834" s="8"/>
      <c r="C834" s="8"/>
      <c r="D834" s="8"/>
      <c r="E834" s="8"/>
      <c r="F834" s="8"/>
      <c r="G834" s="8"/>
      <c r="H834" s="8"/>
      <c r="I834" s="8"/>
    </row>
    <row r="835" spans="2:9" hidden="1">
      <c r="B835" s="8"/>
      <c r="C835" s="8"/>
      <c r="D835" s="8"/>
      <c r="E835" s="8"/>
      <c r="F835" s="8"/>
      <c r="G835" s="8"/>
      <c r="H835" s="8"/>
      <c r="I835" s="8"/>
    </row>
    <row r="836" spans="2:9" hidden="1">
      <c r="B836" s="8"/>
      <c r="C836" s="8"/>
      <c r="D836" s="8"/>
      <c r="E836" s="8"/>
      <c r="F836" s="8"/>
      <c r="G836" s="8"/>
      <c r="H836" s="8"/>
      <c r="I836" s="8"/>
    </row>
    <row r="837" spans="2:9" hidden="1">
      <c r="B837" s="8"/>
      <c r="C837" s="8"/>
      <c r="D837" s="8"/>
      <c r="E837" s="8"/>
      <c r="F837" s="8"/>
      <c r="G837" s="8"/>
      <c r="H837" s="8"/>
      <c r="I837" s="8"/>
    </row>
    <row r="838" spans="2:9" hidden="1">
      <c r="B838" s="8"/>
      <c r="C838" s="8"/>
      <c r="D838" s="8"/>
      <c r="E838" s="8"/>
      <c r="F838" s="8"/>
      <c r="G838" s="8"/>
      <c r="H838" s="8"/>
      <c r="I838" s="8"/>
    </row>
    <row r="839" spans="2:9" hidden="1">
      <c r="B839" s="8"/>
      <c r="C839" s="8"/>
      <c r="D839" s="8"/>
      <c r="E839" s="8"/>
      <c r="F839" s="8"/>
      <c r="G839" s="8"/>
      <c r="H839" s="8"/>
      <c r="I839" s="8"/>
    </row>
    <row r="840" spans="2:9" hidden="1">
      <c r="B840" s="8"/>
      <c r="C840" s="8"/>
      <c r="D840" s="8"/>
      <c r="E840" s="8"/>
      <c r="F840" s="8"/>
      <c r="G840" s="8"/>
      <c r="H840" s="8"/>
      <c r="I840" s="8"/>
    </row>
    <row r="841" spans="2:9" hidden="1">
      <c r="B841" s="8"/>
      <c r="C841" s="8"/>
      <c r="D841" s="8"/>
      <c r="E841" s="8"/>
      <c r="F841" s="8"/>
      <c r="G841" s="8"/>
      <c r="H841" s="8"/>
      <c r="I841" s="8"/>
    </row>
    <row r="842" spans="2:9" hidden="1">
      <c r="B842" s="8"/>
      <c r="C842" s="8"/>
      <c r="D842" s="8"/>
      <c r="E842" s="8"/>
      <c r="F842" s="8"/>
      <c r="G842" s="8"/>
      <c r="H842" s="8"/>
      <c r="I842" s="8"/>
    </row>
    <row r="843" spans="2:9" hidden="1">
      <c r="B843" s="8"/>
      <c r="C843" s="8"/>
      <c r="D843" s="8"/>
      <c r="E843" s="8"/>
      <c r="F843" s="8"/>
      <c r="G843" s="8"/>
      <c r="H843" s="8"/>
      <c r="I843" s="8"/>
    </row>
    <row r="844" spans="2:9" hidden="1">
      <c r="B844" s="8"/>
      <c r="C844" s="8"/>
      <c r="D844" s="8"/>
      <c r="E844" s="8"/>
      <c r="F844" s="8"/>
      <c r="G844" s="8"/>
      <c r="H844" s="8"/>
      <c r="I844" s="8"/>
    </row>
    <row r="845" spans="2:9" hidden="1">
      <c r="B845" s="8"/>
      <c r="C845" s="8"/>
      <c r="D845" s="8"/>
      <c r="E845" s="8"/>
      <c r="F845" s="8"/>
      <c r="G845" s="8"/>
      <c r="H845" s="8"/>
      <c r="I845" s="8"/>
    </row>
    <row r="846" spans="2:9" hidden="1">
      <c r="B846" s="8"/>
      <c r="C846" s="8"/>
      <c r="D846" s="8"/>
      <c r="E846" s="8"/>
      <c r="F846" s="8"/>
      <c r="G846" s="8"/>
      <c r="H846" s="8"/>
      <c r="I846" s="8"/>
    </row>
    <row r="847" spans="2:9" hidden="1">
      <c r="B847" s="8"/>
      <c r="C847" s="8"/>
      <c r="D847" s="8"/>
      <c r="E847" s="8"/>
      <c r="F847" s="8"/>
      <c r="G847" s="8"/>
      <c r="H847" s="8"/>
      <c r="I847" s="8"/>
    </row>
    <row r="848" spans="2:9" hidden="1">
      <c r="B848" s="8"/>
      <c r="C848" s="8"/>
      <c r="D848" s="8"/>
      <c r="E848" s="8"/>
      <c r="F848" s="8"/>
      <c r="G848" s="8"/>
      <c r="H848" s="8"/>
      <c r="I848" s="8"/>
    </row>
    <row r="849" spans="2:9" hidden="1">
      <c r="B849" s="8"/>
      <c r="C849" s="8"/>
      <c r="D849" s="8"/>
      <c r="E849" s="8"/>
      <c r="F849" s="8"/>
      <c r="G849" s="8"/>
      <c r="H849" s="8"/>
      <c r="I849" s="8"/>
    </row>
    <row r="850" spans="2:9" hidden="1">
      <c r="B850" s="8"/>
      <c r="C850" s="8"/>
      <c r="D850" s="8"/>
      <c r="E850" s="8"/>
      <c r="F850" s="8"/>
      <c r="G850" s="8"/>
      <c r="H850" s="8"/>
      <c r="I850" s="8"/>
    </row>
    <row r="851" spans="2:9" hidden="1">
      <c r="B851" s="8"/>
      <c r="C851" s="8"/>
      <c r="D851" s="8"/>
      <c r="E851" s="8"/>
      <c r="F851" s="8"/>
      <c r="G851" s="8"/>
      <c r="H851" s="8"/>
      <c r="I851" s="8"/>
    </row>
    <row r="852" spans="2:9" hidden="1">
      <c r="B852" s="8"/>
      <c r="C852" s="8"/>
      <c r="D852" s="8"/>
      <c r="E852" s="8"/>
      <c r="F852" s="8"/>
      <c r="G852" s="8"/>
      <c r="H852" s="8"/>
      <c r="I852" s="8"/>
    </row>
    <row r="853" spans="2:9" hidden="1">
      <c r="B853" s="8"/>
      <c r="C853" s="8"/>
      <c r="D853" s="8"/>
      <c r="E853" s="8"/>
      <c r="F853" s="8"/>
      <c r="G853" s="8"/>
      <c r="H853" s="8"/>
      <c r="I853" s="8"/>
    </row>
    <row r="854" spans="2:9" hidden="1">
      <c r="B854" s="8"/>
      <c r="C854" s="8"/>
      <c r="D854" s="8"/>
      <c r="E854" s="8"/>
      <c r="F854" s="8"/>
      <c r="G854" s="8"/>
      <c r="H854" s="8"/>
      <c r="I854" s="8"/>
    </row>
    <row r="855" spans="2:9" hidden="1">
      <c r="B855" s="8"/>
      <c r="C855" s="8"/>
      <c r="D855" s="8"/>
      <c r="E855" s="8"/>
      <c r="F855" s="8"/>
      <c r="G855" s="8"/>
      <c r="H855" s="8"/>
      <c r="I855" s="8"/>
    </row>
    <row r="856" spans="2:9" hidden="1">
      <c r="B856" s="8"/>
      <c r="C856" s="8"/>
      <c r="D856" s="8"/>
      <c r="E856" s="8"/>
      <c r="F856" s="8"/>
      <c r="G856" s="8"/>
      <c r="H856" s="8"/>
      <c r="I856" s="8"/>
    </row>
    <row r="857" spans="2:9" hidden="1">
      <c r="B857" s="8"/>
      <c r="C857" s="8"/>
      <c r="D857" s="8"/>
      <c r="E857" s="8"/>
      <c r="F857" s="8"/>
      <c r="G857" s="8"/>
      <c r="H857" s="8"/>
      <c r="I857" s="8"/>
    </row>
    <row r="858" spans="2:9" hidden="1">
      <c r="B858" s="8"/>
      <c r="C858" s="8"/>
      <c r="D858" s="8"/>
      <c r="E858" s="8"/>
      <c r="F858" s="8"/>
      <c r="G858" s="8"/>
      <c r="H858" s="8"/>
      <c r="I858" s="8"/>
    </row>
    <row r="859" spans="2:9" hidden="1">
      <c r="B859" s="8"/>
      <c r="C859" s="8"/>
      <c r="D859" s="8"/>
      <c r="E859" s="8"/>
      <c r="F859" s="8"/>
      <c r="G859" s="8"/>
      <c r="H859" s="8"/>
      <c r="I859" s="8"/>
    </row>
    <row r="860" spans="2:9" hidden="1">
      <c r="B860" s="8"/>
      <c r="C860" s="8"/>
      <c r="D860" s="8"/>
      <c r="E860" s="8"/>
      <c r="F860" s="8"/>
      <c r="G860" s="8"/>
      <c r="H860" s="8"/>
      <c r="I860" s="8"/>
    </row>
    <row r="861" spans="2:9" hidden="1">
      <c r="B861" s="8"/>
      <c r="C861" s="8"/>
      <c r="D861" s="8"/>
      <c r="E861" s="8"/>
      <c r="F861" s="8"/>
      <c r="G861" s="8"/>
      <c r="H861" s="8"/>
      <c r="I861" s="8"/>
    </row>
    <row r="862" spans="2:9" hidden="1">
      <c r="B862" s="8"/>
      <c r="C862" s="8"/>
      <c r="D862" s="8"/>
      <c r="E862" s="8"/>
      <c r="F862" s="8"/>
      <c r="G862" s="8"/>
      <c r="H862" s="8"/>
      <c r="I862" s="8"/>
    </row>
    <row r="863" spans="2:9" hidden="1">
      <c r="B863" s="8"/>
      <c r="C863" s="8"/>
      <c r="D863" s="8"/>
      <c r="E863" s="8"/>
      <c r="F863" s="8"/>
      <c r="G863" s="8"/>
      <c r="H863" s="8"/>
      <c r="I863" s="8"/>
    </row>
    <row r="864" spans="2:9" hidden="1">
      <c r="B864" s="8"/>
      <c r="C864" s="8"/>
      <c r="D864" s="8"/>
      <c r="E864" s="8"/>
      <c r="F864" s="8"/>
      <c r="G864" s="8"/>
      <c r="H864" s="8"/>
      <c r="I864" s="8"/>
    </row>
    <row r="865" spans="2:9" hidden="1">
      <c r="B865" s="8"/>
      <c r="C865" s="8"/>
      <c r="D865" s="8"/>
      <c r="E865" s="8"/>
      <c r="F865" s="8"/>
      <c r="G865" s="8"/>
      <c r="H865" s="8"/>
      <c r="I865" s="8"/>
    </row>
    <row r="866" spans="2:9" hidden="1">
      <c r="B866" s="8"/>
      <c r="C866" s="8"/>
      <c r="D866" s="8"/>
      <c r="E866" s="8"/>
      <c r="F866" s="8"/>
      <c r="G866" s="8"/>
      <c r="H866" s="8"/>
      <c r="I866" s="8"/>
    </row>
    <row r="867" spans="2:9" hidden="1">
      <c r="B867" s="8"/>
      <c r="C867" s="8"/>
      <c r="D867" s="8"/>
      <c r="E867" s="8"/>
      <c r="F867" s="8"/>
      <c r="G867" s="8"/>
      <c r="H867" s="8"/>
      <c r="I867" s="8"/>
    </row>
    <row r="868" spans="2:9" hidden="1">
      <c r="B868" s="8"/>
      <c r="C868" s="8"/>
      <c r="D868" s="8"/>
      <c r="E868" s="8"/>
      <c r="F868" s="8"/>
      <c r="G868" s="8"/>
      <c r="H868" s="8"/>
      <c r="I868" s="8"/>
    </row>
    <row r="869" spans="2:9" hidden="1">
      <c r="B869" s="8"/>
      <c r="C869" s="8"/>
      <c r="D869" s="8"/>
      <c r="E869" s="8"/>
      <c r="F869" s="8"/>
      <c r="G869" s="8"/>
      <c r="H869" s="8"/>
      <c r="I869" s="8"/>
    </row>
    <row r="870" spans="2:9" hidden="1">
      <c r="B870" s="8"/>
      <c r="C870" s="8"/>
      <c r="D870" s="8"/>
      <c r="E870" s="8"/>
      <c r="F870" s="8"/>
      <c r="G870" s="8"/>
      <c r="H870" s="8"/>
      <c r="I870" s="8"/>
    </row>
    <row r="871" spans="2:9" hidden="1">
      <c r="B871" s="8"/>
      <c r="C871" s="8"/>
      <c r="D871" s="8"/>
      <c r="E871" s="8"/>
      <c r="F871" s="8"/>
      <c r="G871" s="8"/>
      <c r="H871" s="8"/>
      <c r="I871" s="8"/>
    </row>
    <row r="872" spans="2:9" hidden="1">
      <c r="B872" s="8"/>
      <c r="C872" s="8"/>
      <c r="D872" s="8"/>
      <c r="E872" s="8"/>
      <c r="F872" s="8"/>
      <c r="G872" s="8"/>
      <c r="H872" s="8"/>
      <c r="I872" s="8"/>
    </row>
    <row r="873" spans="2:9" hidden="1">
      <c r="B873" s="8"/>
      <c r="C873" s="8"/>
      <c r="D873" s="8"/>
      <c r="E873" s="8"/>
      <c r="F873" s="8"/>
      <c r="G873" s="8"/>
      <c r="H873" s="8"/>
      <c r="I873" s="8"/>
    </row>
    <row r="874" spans="2:9" hidden="1">
      <c r="B874" s="8"/>
      <c r="C874" s="8"/>
      <c r="D874" s="8"/>
      <c r="E874" s="8"/>
      <c r="F874" s="8"/>
      <c r="G874" s="8"/>
      <c r="H874" s="8"/>
      <c r="I874" s="8"/>
    </row>
    <row r="875" spans="2:9" hidden="1">
      <c r="B875" s="8"/>
      <c r="C875" s="8"/>
      <c r="D875" s="8"/>
      <c r="E875" s="8"/>
      <c r="F875" s="8"/>
      <c r="G875" s="8"/>
      <c r="H875" s="8"/>
      <c r="I875" s="8"/>
    </row>
    <row r="876" spans="2:9" hidden="1">
      <c r="B876" s="8"/>
      <c r="C876" s="8"/>
      <c r="D876" s="8"/>
      <c r="E876" s="8"/>
      <c r="F876" s="8"/>
      <c r="G876" s="8"/>
      <c r="H876" s="8"/>
      <c r="I876" s="8"/>
    </row>
    <row r="877" spans="2:9" hidden="1">
      <c r="B877" s="8"/>
      <c r="C877" s="8"/>
      <c r="D877" s="8"/>
      <c r="E877" s="8"/>
      <c r="F877" s="8"/>
      <c r="G877" s="8"/>
      <c r="H877" s="8"/>
      <c r="I877" s="8"/>
    </row>
    <row r="878" spans="2:9" hidden="1">
      <c r="B878" s="8"/>
      <c r="C878" s="8"/>
      <c r="D878" s="8"/>
      <c r="E878" s="8"/>
      <c r="F878" s="8"/>
      <c r="G878" s="8"/>
      <c r="H878" s="8"/>
      <c r="I878" s="8"/>
    </row>
    <row r="879" spans="2:9" hidden="1">
      <c r="B879" s="8"/>
      <c r="C879" s="8"/>
      <c r="D879" s="8"/>
      <c r="E879" s="8"/>
      <c r="F879" s="8"/>
      <c r="G879" s="8"/>
      <c r="H879" s="8"/>
      <c r="I879" s="8"/>
    </row>
    <row r="880" spans="2:9" hidden="1">
      <c r="B880" s="8"/>
      <c r="C880" s="8"/>
      <c r="D880" s="8"/>
      <c r="E880" s="8"/>
      <c r="F880" s="8"/>
      <c r="G880" s="8"/>
      <c r="H880" s="8"/>
      <c r="I880" s="8"/>
    </row>
    <row r="881" spans="2:9" hidden="1">
      <c r="B881" s="8"/>
      <c r="C881" s="8"/>
      <c r="D881" s="8"/>
      <c r="E881" s="8"/>
      <c r="F881" s="8"/>
      <c r="G881" s="8"/>
      <c r="H881" s="8"/>
      <c r="I881" s="8"/>
    </row>
    <row r="882" spans="2:9" hidden="1">
      <c r="B882" s="8"/>
      <c r="C882" s="8"/>
      <c r="D882" s="8"/>
      <c r="E882" s="8"/>
      <c r="F882" s="8"/>
      <c r="G882" s="8"/>
      <c r="H882" s="8"/>
      <c r="I882" s="8"/>
    </row>
    <row r="883" spans="2:9" hidden="1">
      <c r="B883" s="8"/>
      <c r="C883" s="8"/>
      <c r="D883" s="8"/>
      <c r="E883" s="8"/>
      <c r="F883" s="8"/>
      <c r="G883" s="8"/>
      <c r="H883" s="8"/>
      <c r="I883" s="8"/>
    </row>
    <row r="884" spans="2:9" hidden="1">
      <c r="B884" s="8"/>
      <c r="C884" s="8"/>
      <c r="D884" s="8"/>
      <c r="E884" s="8"/>
      <c r="F884" s="8"/>
      <c r="G884" s="8"/>
      <c r="H884" s="8"/>
      <c r="I884" s="8"/>
    </row>
    <row r="885" spans="2:9" hidden="1">
      <c r="B885" s="8"/>
      <c r="C885" s="8"/>
      <c r="D885" s="8"/>
      <c r="E885" s="8"/>
      <c r="F885" s="8"/>
      <c r="G885" s="8"/>
      <c r="H885" s="8"/>
      <c r="I885" s="8"/>
    </row>
    <row r="886" spans="2:9" hidden="1">
      <c r="B886" s="8"/>
      <c r="C886" s="8"/>
      <c r="D886" s="8"/>
      <c r="E886" s="8"/>
      <c r="F886" s="8"/>
      <c r="G886" s="8"/>
      <c r="H886" s="8"/>
      <c r="I886" s="8"/>
    </row>
    <row r="887" spans="2:9" hidden="1">
      <c r="B887" s="8"/>
      <c r="C887" s="8"/>
      <c r="D887" s="8"/>
      <c r="E887" s="8"/>
      <c r="F887" s="8"/>
      <c r="G887" s="8"/>
      <c r="H887" s="8"/>
      <c r="I887" s="8"/>
    </row>
    <row r="888" spans="2:9" hidden="1">
      <c r="B888" s="8"/>
      <c r="C888" s="8"/>
      <c r="D888" s="8"/>
      <c r="E888" s="8"/>
      <c r="F888" s="8"/>
      <c r="G888" s="8"/>
      <c r="H888" s="8"/>
      <c r="I888" s="8"/>
    </row>
    <row r="889" spans="2:9" hidden="1">
      <c r="B889" s="8"/>
      <c r="C889" s="8"/>
      <c r="D889" s="8"/>
      <c r="E889" s="8"/>
      <c r="F889" s="8"/>
      <c r="G889" s="8"/>
      <c r="H889" s="8"/>
      <c r="I889" s="8"/>
    </row>
    <row r="890" spans="2:9" hidden="1">
      <c r="B890" s="8"/>
      <c r="C890" s="8"/>
      <c r="D890" s="8"/>
      <c r="E890" s="8"/>
      <c r="F890" s="8"/>
      <c r="G890" s="8"/>
      <c r="H890" s="8"/>
      <c r="I890" s="8"/>
    </row>
    <row r="891" spans="2:9" hidden="1">
      <c r="B891" s="8"/>
      <c r="C891" s="8"/>
      <c r="D891" s="8"/>
      <c r="E891" s="8"/>
      <c r="F891" s="8"/>
      <c r="G891" s="8"/>
      <c r="H891" s="8"/>
      <c r="I891" s="8"/>
    </row>
    <row r="892" spans="2:9" hidden="1">
      <c r="B892" s="8"/>
      <c r="C892" s="8"/>
      <c r="D892" s="8"/>
      <c r="E892" s="8"/>
      <c r="F892" s="8"/>
      <c r="G892" s="8"/>
      <c r="H892" s="8"/>
      <c r="I892" s="8"/>
    </row>
    <row r="893" spans="2:9" hidden="1">
      <c r="B893" s="8"/>
      <c r="C893" s="8"/>
      <c r="D893" s="8"/>
      <c r="E893" s="8"/>
      <c r="F893" s="8"/>
      <c r="G893" s="8"/>
      <c r="H893" s="8"/>
      <c r="I893" s="8"/>
    </row>
    <row r="894" spans="2:9" hidden="1">
      <c r="B894" s="8"/>
      <c r="C894" s="8"/>
      <c r="D894" s="8"/>
      <c r="E894" s="8"/>
      <c r="F894" s="8"/>
      <c r="G894" s="8"/>
      <c r="H894" s="8"/>
      <c r="I894" s="8"/>
    </row>
    <row r="895" spans="2:9" hidden="1">
      <c r="B895" s="8"/>
      <c r="C895" s="8"/>
      <c r="D895" s="8"/>
      <c r="E895" s="8"/>
      <c r="F895" s="8"/>
      <c r="G895" s="8"/>
      <c r="H895" s="8"/>
      <c r="I895" s="8"/>
    </row>
    <row r="896" spans="2:9" hidden="1">
      <c r="B896" s="8"/>
      <c r="C896" s="8"/>
      <c r="D896" s="8"/>
      <c r="E896" s="8"/>
      <c r="F896" s="8"/>
      <c r="G896" s="8"/>
      <c r="H896" s="8"/>
      <c r="I896" s="8"/>
    </row>
    <row r="897" spans="2:9" hidden="1">
      <c r="B897" s="8"/>
      <c r="C897" s="8"/>
      <c r="D897" s="8"/>
      <c r="E897" s="8"/>
      <c r="F897" s="8"/>
      <c r="G897" s="8"/>
      <c r="H897" s="8"/>
      <c r="I897" s="8"/>
    </row>
    <row r="898" spans="2:9" hidden="1">
      <c r="B898" s="8"/>
      <c r="C898" s="8"/>
      <c r="D898" s="8"/>
      <c r="E898" s="8"/>
      <c r="F898" s="8"/>
      <c r="G898" s="8"/>
      <c r="H898" s="8"/>
      <c r="I898" s="8"/>
    </row>
    <row r="899" spans="2:9" hidden="1">
      <c r="B899" s="8"/>
      <c r="C899" s="8"/>
      <c r="D899" s="8"/>
      <c r="E899" s="8"/>
      <c r="F899" s="8"/>
      <c r="G899" s="8"/>
      <c r="H899" s="8"/>
      <c r="I899" s="8"/>
    </row>
    <row r="900" spans="2:9" hidden="1">
      <c r="B900" s="8"/>
      <c r="C900" s="8"/>
      <c r="D900" s="8"/>
      <c r="E900" s="8"/>
      <c r="F900" s="8"/>
      <c r="G900" s="8"/>
      <c r="H900" s="8"/>
      <c r="I900" s="8"/>
    </row>
    <row r="901" spans="2:9" hidden="1">
      <c r="B901" s="8"/>
      <c r="C901" s="8"/>
      <c r="D901" s="8"/>
      <c r="E901" s="8"/>
      <c r="F901" s="8"/>
      <c r="G901" s="8"/>
      <c r="H901" s="8"/>
      <c r="I901" s="8"/>
    </row>
    <row r="902" spans="2:9" hidden="1">
      <c r="B902" s="8"/>
      <c r="C902" s="8"/>
      <c r="D902" s="8"/>
      <c r="E902" s="8"/>
      <c r="F902" s="8"/>
      <c r="G902" s="8"/>
      <c r="H902" s="8"/>
      <c r="I902" s="8"/>
    </row>
    <row r="903" spans="2:9" hidden="1">
      <c r="B903" s="8"/>
      <c r="C903" s="8"/>
      <c r="D903" s="8"/>
      <c r="E903" s="8"/>
      <c r="F903" s="8"/>
      <c r="G903" s="8"/>
      <c r="H903" s="8"/>
      <c r="I903" s="8"/>
    </row>
    <row r="904" spans="2:9" hidden="1">
      <c r="B904" s="8"/>
      <c r="C904" s="8"/>
      <c r="D904" s="8"/>
      <c r="E904" s="8"/>
      <c r="F904" s="8"/>
      <c r="G904" s="8"/>
      <c r="H904" s="8"/>
      <c r="I904" s="8"/>
    </row>
    <row r="905" spans="2:9" hidden="1">
      <c r="B905" s="8"/>
      <c r="C905" s="8"/>
      <c r="D905" s="8"/>
      <c r="E905" s="8"/>
      <c r="F905" s="8"/>
      <c r="G905" s="8"/>
      <c r="H905" s="8"/>
      <c r="I905" s="8"/>
    </row>
    <row r="906" spans="2:9" hidden="1">
      <c r="B906" s="8"/>
      <c r="C906" s="8"/>
      <c r="D906" s="8"/>
      <c r="E906" s="8"/>
      <c r="F906" s="8"/>
      <c r="G906" s="8"/>
      <c r="H906" s="8"/>
      <c r="I906" s="8"/>
    </row>
    <row r="907" spans="2:9" hidden="1">
      <c r="B907" s="8"/>
      <c r="C907" s="8"/>
      <c r="D907" s="8"/>
      <c r="E907" s="8"/>
      <c r="F907" s="8"/>
      <c r="G907" s="8"/>
      <c r="H907" s="8"/>
      <c r="I907" s="8"/>
    </row>
    <row r="908" spans="2:9" hidden="1">
      <c r="B908" s="8"/>
      <c r="C908" s="8"/>
      <c r="D908" s="8"/>
      <c r="E908" s="8"/>
      <c r="F908" s="8"/>
      <c r="G908" s="8"/>
      <c r="H908" s="8"/>
      <c r="I908" s="8"/>
    </row>
    <row r="909" spans="2:9" hidden="1">
      <c r="B909" s="8"/>
      <c r="C909" s="8"/>
      <c r="D909" s="8"/>
      <c r="E909" s="8"/>
      <c r="F909" s="8"/>
      <c r="G909" s="8"/>
      <c r="H909" s="8"/>
      <c r="I909" s="8"/>
    </row>
    <row r="910" spans="2:9" hidden="1">
      <c r="B910" s="8"/>
      <c r="C910" s="8"/>
      <c r="D910" s="8"/>
      <c r="E910" s="8"/>
      <c r="F910" s="8"/>
      <c r="G910" s="8"/>
      <c r="H910" s="8"/>
      <c r="I910" s="8"/>
    </row>
    <row r="911" spans="2:9" hidden="1">
      <c r="B911" s="8"/>
      <c r="C911" s="8"/>
      <c r="D911" s="8"/>
      <c r="E911" s="8"/>
      <c r="F911" s="8"/>
      <c r="G911" s="8"/>
      <c r="H911" s="8"/>
      <c r="I911" s="8"/>
    </row>
    <row r="912" spans="2:9" hidden="1">
      <c r="B912" s="8"/>
      <c r="C912" s="8"/>
      <c r="D912" s="8"/>
      <c r="E912" s="8"/>
      <c r="F912" s="8"/>
      <c r="G912" s="8"/>
      <c r="H912" s="8"/>
      <c r="I912" s="8"/>
    </row>
    <row r="913" spans="2:9" hidden="1">
      <c r="B913" s="8"/>
      <c r="C913" s="8"/>
      <c r="D913" s="8"/>
      <c r="E913" s="8"/>
      <c r="F913" s="8"/>
      <c r="G913" s="8"/>
      <c r="H913" s="8"/>
      <c r="I913" s="8"/>
    </row>
    <row r="914" spans="2:9" hidden="1">
      <c r="B914" s="8"/>
      <c r="C914" s="8"/>
      <c r="D914" s="8"/>
      <c r="E914" s="8"/>
      <c r="F914" s="8"/>
      <c r="G914" s="8"/>
      <c r="H914" s="8"/>
      <c r="I914" s="8"/>
    </row>
    <row r="915" spans="2:9" hidden="1">
      <c r="B915" s="8"/>
      <c r="C915" s="8"/>
      <c r="D915" s="8"/>
      <c r="E915" s="8"/>
      <c r="F915" s="8"/>
      <c r="G915" s="8"/>
      <c r="H915" s="8"/>
      <c r="I915" s="8"/>
    </row>
    <row r="916" spans="2:9" hidden="1">
      <c r="B916" s="8"/>
      <c r="C916" s="8"/>
      <c r="D916" s="8"/>
      <c r="E916" s="8"/>
      <c r="F916" s="8"/>
      <c r="G916" s="8"/>
      <c r="H916" s="8"/>
      <c r="I916" s="8"/>
    </row>
    <row r="917" spans="2:9" hidden="1">
      <c r="B917" s="8"/>
      <c r="C917" s="8"/>
      <c r="D917" s="8"/>
      <c r="E917" s="8"/>
      <c r="F917" s="8"/>
      <c r="G917" s="8"/>
      <c r="H917" s="8"/>
      <c r="I917" s="8"/>
    </row>
    <row r="918" spans="2:9" hidden="1">
      <c r="B918" s="8"/>
      <c r="C918" s="8"/>
      <c r="D918" s="8"/>
      <c r="E918" s="8"/>
      <c r="F918" s="8"/>
      <c r="G918" s="8"/>
      <c r="H918" s="8"/>
      <c r="I918" s="8"/>
    </row>
    <row r="919" spans="2:9" hidden="1">
      <c r="B919" s="8"/>
      <c r="C919" s="8"/>
      <c r="D919" s="8"/>
      <c r="E919" s="8"/>
      <c r="F919" s="8"/>
      <c r="G919" s="8"/>
      <c r="H919" s="8"/>
      <c r="I919" s="8"/>
    </row>
    <row r="920" spans="2:9" hidden="1">
      <c r="B920" s="8"/>
      <c r="C920" s="8"/>
      <c r="D920" s="8"/>
      <c r="E920" s="8"/>
      <c r="F920" s="8"/>
      <c r="G920" s="8"/>
      <c r="H920" s="8"/>
      <c r="I920" s="8"/>
    </row>
    <row r="921" spans="2:9" hidden="1">
      <c r="B921" s="8"/>
      <c r="C921" s="8"/>
      <c r="D921" s="8"/>
      <c r="E921" s="8"/>
      <c r="F921" s="8"/>
      <c r="G921" s="8"/>
      <c r="H921" s="8"/>
      <c r="I921" s="8"/>
    </row>
    <row r="922" spans="2:9" hidden="1">
      <c r="B922" s="8"/>
      <c r="C922" s="8"/>
      <c r="D922" s="8"/>
      <c r="E922" s="8"/>
      <c r="F922" s="8"/>
      <c r="G922" s="8"/>
      <c r="H922" s="8"/>
      <c r="I922" s="8"/>
    </row>
    <row r="923" spans="2:9" hidden="1">
      <c r="B923" s="8"/>
      <c r="C923" s="8"/>
      <c r="D923" s="8"/>
      <c r="E923" s="8"/>
      <c r="F923" s="8"/>
      <c r="G923" s="8"/>
      <c r="H923" s="8"/>
      <c r="I923" s="8"/>
    </row>
    <row r="924" spans="2:9" hidden="1">
      <c r="B924" s="8"/>
      <c r="C924" s="8"/>
      <c r="D924" s="8"/>
      <c r="E924" s="8"/>
      <c r="F924" s="8"/>
      <c r="G924" s="8"/>
      <c r="H924" s="8"/>
      <c r="I924" s="8"/>
    </row>
    <row r="925" spans="2:9" hidden="1">
      <c r="B925" s="8"/>
      <c r="C925" s="8"/>
      <c r="D925" s="8"/>
      <c r="E925" s="8"/>
      <c r="F925" s="8"/>
      <c r="G925" s="8"/>
      <c r="H925" s="8"/>
      <c r="I925" s="8"/>
    </row>
    <row r="926" spans="2:9" hidden="1">
      <c r="B926" s="8"/>
      <c r="C926" s="8"/>
      <c r="D926" s="8"/>
      <c r="E926" s="8"/>
      <c r="F926" s="8"/>
      <c r="G926" s="8"/>
      <c r="H926" s="8"/>
      <c r="I926" s="8"/>
    </row>
    <row r="927" spans="2:9" hidden="1">
      <c r="B927" s="8"/>
      <c r="C927" s="8"/>
      <c r="D927" s="8"/>
      <c r="E927" s="8"/>
      <c r="F927" s="8"/>
      <c r="G927" s="8"/>
      <c r="H927" s="8"/>
      <c r="I927" s="8"/>
    </row>
    <row r="928" spans="2:9" hidden="1">
      <c r="B928" s="8"/>
      <c r="C928" s="8"/>
      <c r="D928" s="8"/>
      <c r="E928" s="8"/>
      <c r="F928" s="8"/>
      <c r="G928" s="8"/>
      <c r="H928" s="8"/>
      <c r="I928" s="8"/>
    </row>
    <row r="929" spans="2:9" hidden="1">
      <c r="B929" s="8"/>
      <c r="C929" s="8"/>
      <c r="D929" s="8"/>
      <c r="E929" s="8"/>
      <c r="F929" s="8"/>
      <c r="G929" s="8"/>
      <c r="H929" s="8"/>
      <c r="I929" s="8"/>
    </row>
    <row r="930" spans="2:9" hidden="1">
      <c r="B930" s="8"/>
      <c r="C930" s="8"/>
      <c r="D930" s="8"/>
      <c r="E930" s="8"/>
      <c r="F930" s="8"/>
      <c r="G930" s="8"/>
      <c r="H930" s="8"/>
      <c r="I930" s="8"/>
    </row>
    <row r="931" spans="2:9" hidden="1">
      <c r="B931" s="8"/>
      <c r="C931" s="8"/>
      <c r="D931" s="8"/>
      <c r="E931" s="8"/>
      <c r="F931" s="8"/>
      <c r="G931" s="8"/>
      <c r="H931" s="8"/>
      <c r="I931" s="8"/>
    </row>
    <row r="932" spans="2:9" hidden="1">
      <c r="B932" s="8"/>
      <c r="C932" s="8"/>
      <c r="D932" s="8"/>
      <c r="E932" s="8"/>
      <c r="F932" s="8"/>
      <c r="G932" s="8"/>
      <c r="H932" s="8"/>
      <c r="I932" s="8"/>
    </row>
    <row r="933" spans="2:9" hidden="1">
      <c r="B933" s="8"/>
      <c r="C933" s="8"/>
      <c r="D933" s="8"/>
      <c r="E933" s="8"/>
      <c r="F933" s="8"/>
      <c r="G933" s="8"/>
      <c r="H933" s="8"/>
      <c r="I933" s="8"/>
    </row>
    <row r="934" spans="2:9" hidden="1">
      <c r="B934" s="8"/>
      <c r="C934" s="8"/>
      <c r="D934" s="8"/>
      <c r="E934" s="8"/>
      <c r="F934" s="8"/>
      <c r="G934" s="8"/>
      <c r="H934" s="8"/>
      <c r="I934" s="8"/>
    </row>
    <row r="935" spans="2:9" hidden="1">
      <c r="B935" s="8"/>
      <c r="C935" s="8"/>
      <c r="D935" s="8"/>
      <c r="E935" s="8"/>
      <c r="F935" s="8"/>
      <c r="G935" s="8"/>
      <c r="H935" s="8"/>
      <c r="I935" s="8"/>
    </row>
    <row r="936" spans="2:9" hidden="1">
      <c r="B936" s="8"/>
      <c r="C936" s="8"/>
      <c r="D936" s="8"/>
      <c r="E936" s="8"/>
      <c r="F936" s="8"/>
      <c r="G936" s="8"/>
      <c r="H936" s="8"/>
      <c r="I936" s="8"/>
    </row>
    <row r="937" spans="2:9" hidden="1">
      <c r="B937" s="8"/>
      <c r="C937" s="8"/>
      <c r="D937" s="8"/>
      <c r="E937" s="8"/>
      <c r="F937" s="8"/>
      <c r="G937" s="8"/>
      <c r="H937" s="8"/>
      <c r="I937" s="8"/>
    </row>
    <row r="938" spans="2:9" hidden="1">
      <c r="B938" s="8"/>
      <c r="C938" s="8"/>
      <c r="D938" s="8"/>
      <c r="E938" s="8"/>
      <c r="F938" s="8"/>
      <c r="G938" s="8"/>
      <c r="H938" s="8"/>
      <c r="I938" s="8"/>
    </row>
    <row r="939" spans="2:9" hidden="1">
      <c r="B939" s="8"/>
      <c r="C939" s="8"/>
      <c r="D939" s="8"/>
      <c r="E939" s="8"/>
      <c r="F939" s="8"/>
      <c r="G939" s="8"/>
      <c r="H939" s="8"/>
      <c r="I939" s="8"/>
    </row>
    <row r="940" spans="2:9" hidden="1">
      <c r="B940" s="8"/>
      <c r="C940" s="8"/>
      <c r="D940" s="8"/>
      <c r="E940" s="8"/>
      <c r="F940" s="8"/>
      <c r="G940" s="8"/>
      <c r="H940" s="8"/>
      <c r="I940" s="8"/>
    </row>
    <row r="941" spans="2:9" hidden="1">
      <c r="B941" s="8"/>
      <c r="C941" s="8"/>
      <c r="D941" s="8"/>
      <c r="E941" s="8"/>
      <c r="F941" s="8"/>
      <c r="G941" s="8"/>
      <c r="H941" s="8"/>
      <c r="I941" s="8"/>
    </row>
    <row r="942" spans="2:9" hidden="1">
      <c r="B942" s="8"/>
      <c r="C942" s="8"/>
      <c r="D942" s="8"/>
      <c r="E942" s="8"/>
      <c r="F942" s="8"/>
      <c r="G942" s="8"/>
      <c r="H942" s="8"/>
      <c r="I942" s="8"/>
    </row>
    <row r="943" spans="2:9" hidden="1">
      <c r="B943" s="8"/>
      <c r="C943" s="8"/>
      <c r="D943" s="8"/>
      <c r="E943" s="8"/>
      <c r="F943" s="8"/>
      <c r="G943" s="8"/>
      <c r="H943" s="8"/>
      <c r="I943" s="8"/>
    </row>
    <row r="944" spans="2:9" hidden="1">
      <c r="B944" s="8"/>
      <c r="C944" s="8"/>
      <c r="D944" s="8"/>
      <c r="E944" s="8"/>
      <c r="F944" s="8"/>
      <c r="G944" s="8"/>
      <c r="H944" s="8"/>
      <c r="I944" s="8"/>
    </row>
    <row r="945" spans="2:9" hidden="1">
      <c r="B945" s="8"/>
      <c r="C945" s="8"/>
      <c r="D945" s="8"/>
      <c r="E945" s="8"/>
      <c r="F945" s="8"/>
      <c r="G945" s="8"/>
      <c r="H945" s="8"/>
      <c r="I945" s="8"/>
    </row>
    <row r="946" spans="2:9" hidden="1">
      <c r="B946" s="8"/>
      <c r="C946" s="8"/>
      <c r="D946" s="8"/>
      <c r="E946" s="8"/>
      <c r="F946" s="8"/>
      <c r="G946" s="8"/>
      <c r="H946" s="8"/>
      <c r="I946" s="8"/>
    </row>
    <row r="947" spans="2:9" hidden="1">
      <c r="B947" s="8"/>
      <c r="C947" s="8"/>
      <c r="D947" s="8"/>
      <c r="E947" s="8"/>
      <c r="F947" s="8"/>
      <c r="G947" s="8"/>
      <c r="H947" s="8"/>
      <c r="I947" s="8"/>
    </row>
    <row r="948" spans="2:9" hidden="1">
      <c r="B948" s="8"/>
      <c r="C948" s="8"/>
      <c r="D948" s="8"/>
      <c r="E948" s="8"/>
      <c r="F948" s="8"/>
      <c r="G948" s="8"/>
      <c r="H948" s="8"/>
      <c r="I948" s="8"/>
    </row>
    <row r="949" spans="2:9" hidden="1">
      <c r="B949" s="8"/>
      <c r="C949" s="8"/>
      <c r="D949" s="8"/>
      <c r="E949" s="8"/>
      <c r="F949" s="8"/>
      <c r="G949" s="8"/>
      <c r="H949" s="8"/>
      <c r="I949" s="8"/>
    </row>
    <row r="950" spans="2:9" hidden="1">
      <c r="B950" s="8"/>
      <c r="C950" s="8"/>
      <c r="D950" s="8"/>
      <c r="E950" s="8"/>
      <c r="F950" s="8"/>
      <c r="G950" s="8"/>
      <c r="H950" s="8"/>
      <c r="I950" s="8"/>
    </row>
    <row r="951" spans="2:9" hidden="1">
      <c r="B951" s="8"/>
      <c r="C951" s="8"/>
      <c r="D951" s="8"/>
      <c r="E951" s="8"/>
      <c r="F951" s="8"/>
      <c r="G951" s="8"/>
      <c r="H951" s="8"/>
      <c r="I951" s="8"/>
    </row>
    <row r="952" spans="2:9" hidden="1">
      <c r="B952" s="8"/>
      <c r="C952" s="8"/>
      <c r="D952" s="8"/>
      <c r="E952" s="8"/>
      <c r="F952" s="8"/>
      <c r="G952" s="8"/>
      <c r="H952" s="8"/>
      <c r="I952" s="8"/>
    </row>
    <row r="953" spans="2:9" hidden="1">
      <c r="B953" s="8"/>
      <c r="C953" s="8"/>
      <c r="D953" s="8"/>
      <c r="E953" s="8"/>
      <c r="F953" s="8"/>
      <c r="G953" s="8"/>
      <c r="H953" s="8"/>
      <c r="I953" s="8"/>
    </row>
    <row r="954" spans="2:9" hidden="1">
      <c r="B954" s="8"/>
      <c r="C954" s="8"/>
      <c r="D954" s="8"/>
      <c r="E954" s="8"/>
      <c r="F954" s="8"/>
      <c r="G954" s="8"/>
      <c r="H954" s="8"/>
      <c r="I954" s="8"/>
    </row>
    <row r="955" spans="2:9" hidden="1">
      <c r="B955" s="8"/>
      <c r="C955" s="8"/>
      <c r="D955" s="8"/>
      <c r="E955" s="8"/>
      <c r="F955" s="8"/>
      <c r="G955" s="8"/>
      <c r="H955" s="8"/>
      <c r="I955" s="8"/>
    </row>
    <row r="956" spans="2:9" hidden="1">
      <c r="B956" s="8"/>
      <c r="C956" s="8"/>
      <c r="D956" s="8"/>
      <c r="E956" s="8"/>
      <c r="F956" s="8"/>
      <c r="G956" s="8"/>
      <c r="H956" s="8"/>
      <c r="I956" s="8"/>
    </row>
    <row r="957" spans="2:9" hidden="1">
      <c r="B957" s="8"/>
      <c r="C957" s="8"/>
      <c r="D957" s="8"/>
      <c r="E957" s="8"/>
      <c r="F957" s="8"/>
      <c r="G957" s="8"/>
      <c r="H957" s="8"/>
      <c r="I957" s="8"/>
    </row>
    <row r="958" spans="2:9" hidden="1">
      <c r="B958" s="8"/>
      <c r="C958" s="8"/>
      <c r="D958" s="8"/>
      <c r="E958" s="8"/>
      <c r="F958" s="8"/>
      <c r="G958" s="8"/>
      <c r="H958" s="8"/>
      <c r="I958" s="8"/>
    </row>
    <row r="959" spans="2:9" hidden="1">
      <c r="B959" s="8"/>
      <c r="C959" s="8"/>
      <c r="D959" s="8"/>
      <c r="E959" s="8"/>
      <c r="F959" s="8"/>
      <c r="G959" s="8"/>
      <c r="H959" s="8"/>
      <c r="I959" s="8"/>
    </row>
    <row r="960" spans="2:9" hidden="1">
      <c r="B960" s="8"/>
      <c r="C960" s="8"/>
      <c r="D960" s="8"/>
      <c r="E960" s="8"/>
      <c r="F960" s="8"/>
      <c r="G960" s="8"/>
      <c r="H960" s="8"/>
      <c r="I960" s="8"/>
    </row>
    <row r="961" spans="2:9" hidden="1">
      <c r="B961" s="8"/>
      <c r="C961" s="8"/>
      <c r="D961" s="8"/>
      <c r="E961" s="8"/>
      <c r="F961" s="8"/>
      <c r="G961" s="8"/>
      <c r="H961" s="8"/>
      <c r="I961" s="8"/>
    </row>
    <row r="962" spans="2:9" hidden="1">
      <c r="B962" s="8"/>
      <c r="C962" s="8"/>
      <c r="D962" s="8"/>
      <c r="E962" s="8"/>
      <c r="F962" s="8"/>
      <c r="G962" s="8"/>
      <c r="H962" s="8"/>
      <c r="I962" s="8"/>
    </row>
    <row r="963" spans="2:9" hidden="1">
      <c r="B963" s="8"/>
      <c r="C963" s="8"/>
      <c r="D963" s="8"/>
      <c r="E963" s="8"/>
      <c r="F963" s="8"/>
      <c r="G963" s="8"/>
      <c r="H963" s="8"/>
      <c r="I963" s="8"/>
    </row>
    <row r="964" spans="2:9" hidden="1">
      <c r="B964" s="8"/>
      <c r="C964" s="8"/>
      <c r="D964" s="8"/>
      <c r="E964" s="8"/>
      <c r="F964" s="8"/>
      <c r="G964" s="8"/>
      <c r="H964" s="8"/>
      <c r="I964" s="8"/>
    </row>
    <row r="965" spans="2:9" hidden="1">
      <c r="B965" s="8"/>
      <c r="C965" s="8"/>
      <c r="D965" s="8"/>
      <c r="E965" s="8"/>
      <c r="F965" s="8"/>
      <c r="G965" s="8"/>
      <c r="H965" s="8"/>
      <c r="I965" s="8"/>
    </row>
    <row r="966" spans="2:9" hidden="1">
      <c r="B966" s="8"/>
      <c r="C966" s="8"/>
      <c r="D966" s="8"/>
      <c r="E966" s="8"/>
      <c r="F966" s="8"/>
      <c r="G966" s="8"/>
      <c r="H966" s="8"/>
      <c r="I966" s="8"/>
    </row>
    <row r="967" spans="2:9" hidden="1">
      <c r="B967" s="8"/>
      <c r="C967" s="8"/>
      <c r="D967" s="8"/>
      <c r="E967" s="8"/>
      <c r="F967" s="8"/>
      <c r="G967" s="8"/>
      <c r="H967" s="8"/>
      <c r="I967" s="8"/>
    </row>
    <row r="968" spans="2:9" hidden="1">
      <c r="B968" s="8"/>
      <c r="C968" s="8"/>
      <c r="D968" s="8"/>
      <c r="E968" s="8"/>
      <c r="F968" s="8"/>
      <c r="G968" s="8"/>
      <c r="H968" s="8"/>
      <c r="I968" s="8"/>
    </row>
    <row r="969" spans="2:9" hidden="1">
      <c r="B969" s="8"/>
      <c r="C969" s="8"/>
      <c r="D969" s="8"/>
      <c r="E969" s="8"/>
      <c r="F969" s="8"/>
      <c r="G969" s="8"/>
      <c r="H969" s="8"/>
      <c r="I969" s="8"/>
    </row>
    <row r="970" spans="2:9" hidden="1">
      <c r="B970" s="8"/>
      <c r="C970" s="8"/>
      <c r="D970" s="8"/>
      <c r="E970" s="8"/>
      <c r="F970" s="8"/>
      <c r="G970" s="8"/>
      <c r="H970" s="8"/>
      <c r="I970" s="8"/>
    </row>
    <row r="971" spans="2:9" hidden="1">
      <c r="B971" s="8"/>
      <c r="C971" s="8"/>
      <c r="D971" s="8"/>
      <c r="E971" s="8"/>
      <c r="F971" s="8"/>
      <c r="G971" s="8"/>
      <c r="H971" s="8"/>
      <c r="I971" s="8"/>
    </row>
    <row r="972" spans="2:9" hidden="1">
      <c r="B972" s="8"/>
      <c r="C972" s="8"/>
      <c r="D972" s="8"/>
      <c r="E972" s="8"/>
      <c r="F972" s="8"/>
      <c r="G972" s="8"/>
      <c r="H972" s="8"/>
      <c r="I972" s="8"/>
    </row>
    <row r="973" spans="2:9" hidden="1">
      <c r="B973" s="8"/>
      <c r="C973" s="8"/>
      <c r="D973" s="8"/>
      <c r="E973" s="8"/>
      <c r="F973" s="8"/>
      <c r="G973" s="8"/>
      <c r="H973" s="8"/>
      <c r="I973" s="8"/>
    </row>
    <row r="974" spans="2:9" hidden="1">
      <c r="B974" s="8"/>
      <c r="C974" s="8"/>
      <c r="D974" s="8"/>
      <c r="E974" s="8"/>
      <c r="F974" s="8"/>
      <c r="G974" s="8"/>
      <c r="H974" s="8"/>
      <c r="I974" s="8"/>
    </row>
    <row r="975" spans="2:9" hidden="1">
      <c r="B975" s="8"/>
      <c r="C975" s="8"/>
      <c r="D975" s="8"/>
      <c r="E975" s="8"/>
      <c r="F975" s="8"/>
      <c r="G975" s="8"/>
      <c r="H975" s="8"/>
      <c r="I975" s="8"/>
    </row>
    <row r="976" spans="2:9" hidden="1">
      <c r="B976" s="8"/>
      <c r="C976" s="8"/>
      <c r="D976" s="8"/>
      <c r="E976" s="8"/>
      <c r="F976" s="8"/>
      <c r="G976" s="8"/>
      <c r="H976" s="8"/>
      <c r="I976" s="8"/>
    </row>
    <row r="977" spans="2:9" hidden="1">
      <c r="B977" s="8"/>
      <c r="C977" s="8"/>
      <c r="D977" s="8"/>
      <c r="E977" s="8"/>
      <c r="F977" s="8"/>
      <c r="G977" s="8"/>
      <c r="H977" s="8"/>
      <c r="I977" s="8"/>
    </row>
    <row r="978" spans="2:9" hidden="1">
      <c r="B978" s="8"/>
      <c r="C978" s="8"/>
      <c r="D978" s="8"/>
      <c r="E978" s="8"/>
      <c r="F978" s="8"/>
      <c r="G978" s="8"/>
      <c r="H978" s="8"/>
      <c r="I978" s="8"/>
    </row>
    <row r="979" spans="2:9" hidden="1">
      <c r="B979" s="8"/>
      <c r="C979" s="8"/>
      <c r="D979" s="8"/>
      <c r="E979" s="8"/>
      <c r="F979" s="8"/>
      <c r="G979" s="8"/>
      <c r="H979" s="8"/>
      <c r="I979" s="8"/>
    </row>
    <row r="980" spans="2:9" hidden="1">
      <c r="B980" s="8"/>
      <c r="C980" s="8"/>
      <c r="D980" s="8"/>
      <c r="E980" s="8"/>
      <c r="F980" s="8"/>
      <c r="G980" s="8"/>
      <c r="H980" s="8"/>
      <c r="I980" s="8"/>
    </row>
    <row r="981" spans="2:9" hidden="1">
      <c r="B981" s="8"/>
      <c r="C981" s="8"/>
      <c r="D981" s="8"/>
      <c r="E981" s="8"/>
      <c r="F981" s="8"/>
      <c r="G981" s="8"/>
      <c r="H981" s="8"/>
      <c r="I981" s="8"/>
    </row>
    <row r="982" spans="2:9" hidden="1">
      <c r="B982" s="8"/>
      <c r="C982" s="8"/>
      <c r="D982" s="8"/>
      <c r="E982" s="8"/>
      <c r="F982" s="8"/>
      <c r="G982" s="8"/>
      <c r="H982" s="8"/>
      <c r="I982" s="8"/>
    </row>
    <row r="983" spans="2:9" hidden="1">
      <c r="B983" s="8"/>
      <c r="C983" s="8"/>
      <c r="D983" s="8"/>
      <c r="E983" s="8"/>
      <c r="F983" s="8"/>
      <c r="G983" s="8"/>
      <c r="H983" s="8"/>
      <c r="I983" s="8"/>
    </row>
    <row r="984" spans="2:9" hidden="1">
      <c r="B984" s="8"/>
      <c r="C984" s="8"/>
      <c r="D984" s="8"/>
      <c r="E984" s="8"/>
      <c r="F984" s="8"/>
      <c r="G984" s="8"/>
      <c r="H984" s="8"/>
      <c r="I984" s="8"/>
    </row>
    <row r="985" spans="2:9" hidden="1">
      <c r="B985" s="8"/>
      <c r="C985" s="8"/>
      <c r="D985" s="8"/>
      <c r="E985" s="8"/>
      <c r="F985" s="8"/>
      <c r="G985" s="8"/>
      <c r="H985" s="8"/>
      <c r="I985" s="8"/>
    </row>
    <row r="986" spans="2:9" hidden="1">
      <c r="B986" s="8"/>
      <c r="C986" s="8"/>
      <c r="D986" s="8"/>
      <c r="E986" s="8"/>
      <c r="F986" s="8"/>
      <c r="G986" s="8"/>
      <c r="H986" s="8"/>
      <c r="I986" s="8"/>
    </row>
    <row r="987" spans="2:9" hidden="1">
      <c r="B987" s="8"/>
      <c r="C987" s="8"/>
      <c r="D987" s="8"/>
      <c r="E987" s="8"/>
      <c r="F987" s="8"/>
      <c r="G987" s="8"/>
      <c r="H987" s="8"/>
      <c r="I987" s="8"/>
    </row>
    <row r="988" spans="2:9" hidden="1">
      <c r="B988" s="8"/>
      <c r="C988" s="8"/>
      <c r="D988" s="8"/>
      <c r="E988" s="8"/>
      <c r="F988" s="8"/>
      <c r="G988" s="8"/>
      <c r="H988" s="8"/>
      <c r="I988" s="8"/>
    </row>
    <row r="989" spans="2:9" hidden="1">
      <c r="B989" s="8"/>
      <c r="C989" s="8"/>
      <c r="D989" s="8"/>
      <c r="E989" s="8"/>
      <c r="F989" s="8"/>
      <c r="G989" s="8"/>
      <c r="H989" s="8"/>
      <c r="I989" s="8"/>
    </row>
    <row r="990" spans="2:9" hidden="1">
      <c r="B990" s="8"/>
      <c r="C990" s="8"/>
      <c r="D990" s="8"/>
      <c r="E990" s="8"/>
      <c r="F990" s="8"/>
      <c r="G990" s="8"/>
      <c r="H990" s="8"/>
      <c r="I990" s="8"/>
    </row>
    <row r="991" spans="2:9" hidden="1">
      <c r="B991" s="8"/>
      <c r="C991" s="8"/>
      <c r="D991" s="8"/>
      <c r="E991" s="8"/>
      <c r="F991" s="8"/>
      <c r="G991" s="8"/>
      <c r="H991" s="8"/>
      <c r="I991" s="8"/>
    </row>
    <row r="992" spans="2:9" hidden="1">
      <c r="B992" s="8"/>
      <c r="C992" s="8"/>
      <c r="D992" s="8"/>
      <c r="E992" s="8"/>
      <c r="F992" s="8"/>
      <c r="G992" s="8"/>
      <c r="H992" s="8"/>
      <c r="I992" s="8"/>
    </row>
    <row r="993" spans="2:9" hidden="1">
      <c r="B993" s="8"/>
      <c r="C993" s="8"/>
      <c r="D993" s="8"/>
      <c r="E993" s="8"/>
      <c r="F993" s="8"/>
      <c r="G993" s="8"/>
      <c r="H993" s="8"/>
      <c r="I993" s="8"/>
    </row>
    <row r="994" spans="2:9" hidden="1">
      <c r="B994" s="8"/>
      <c r="C994" s="8"/>
      <c r="D994" s="8"/>
      <c r="E994" s="8"/>
      <c r="F994" s="8"/>
      <c r="G994" s="8"/>
      <c r="H994" s="8"/>
      <c r="I994" s="8"/>
    </row>
    <row r="995" spans="2:9" hidden="1">
      <c r="B995" s="8"/>
      <c r="C995" s="8"/>
      <c r="D995" s="8"/>
      <c r="E995" s="8"/>
      <c r="F995" s="8"/>
      <c r="G995" s="8"/>
      <c r="H995" s="8"/>
      <c r="I995" s="8"/>
    </row>
    <row r="996" spans="2:9" hidden="1">
      <c r="B996" s="8"/>
      <c r="C996" s="8"/>
      <c r="D996" s="8"/>
      <c r="E996" s="8"/>
      <c r="F996" s="8"/>
      <c r="G996" s="8"/>
      <c r="H996" s="8"/>
      <c r="I996" s="8"/>
    </row>
    <row r="997" spans="2:9" hidden="1">
      <c r="B997" s="8"/>
      <c r="C997" s="8"/>
      <c r="D997" s="8"/>
      <c r="E997" s="8"/>
      <c r="F997" s="8"/>
      <c r="G997" s="8"/>
      <c r="H997" s="8"/>
      <c r="I997" s="8"/>
    </row>
    <row r="998" spans="2:9" hidden="1">
      <c r="B998" s="8"/>
      <c r="C998" s="8"/>
      <c r="D998" s="8"/>
      <c r="E998" s="8"/>
      <c r="F998" s="8"/>
      <c r="G998" s="8"/>
      <c r="H998" s="8"/>
      <c r="I998" s="8"/>
    </row>
    <row r="999" spans="2:9" hidden="1">
      <c r="B999" s="8"/>
      <c r="C999" s="8"/>
      <c r="D999" s="8"/>
      <c r="E999" s="8"/>
      <c r="F999" s="8"/>
      <c r="G999" s="8"/>
      <c r="H999" s="8"/>
      <c r="I999" s="8"/>
    </row>
    <row r="1000" spans="2:9" hidden="1">
      <c r="B1000" s="8"/>
      <c r="C1000" s="8"/>
      <c r="D1000" s="8"/>
      <c r="E1000" s="8"/>
      <c r="F1000" s="8"/>
      <c r="G1000" s="8"/>
      <c r="H1000" s="8"/>
      <c r="I1000" s="8"/>
    </row>
    <row r="1001" spans="2:9" hidden="1">
      <c r="B1001" s="8"/>
      <c r="C1001" s="8"/>
      <c r="D1001" s="8"/>
      <c r="E1001" s="8"/>
      <c r="F1001" s="8"/>
      <c r="G1001" s="8"/>
      <c r="H1001" s="8"/>
      <c r="I1001" s="8"/>
    </row>
    <row r="1002" spans="2:9" hidden="1">
      <c r="B1002" s="8"/>
      <c r="C1002" s="8"/>
      <c r="D1002" s="8"/>
      <c r="E1002" s="8"/>
      <c r="F1002" s="8"/>
      <c r="G1002" s="8"/>
      <c r="H1002" s="8"/>
      <c r="I1002" s="8"/>
    </row>
    <row r="1003" spans="2:9" hidden="1">
      <c r="B1003" s="8"/>
      <c r="C1003" s="8"/>
      <c r="D1003" s="8"/>
      <c r="E1003" s="8"/>
      <c r="F1003" s="8"/>
      <c r="G1003" s="8"/>
      <c r="H1003" s="8"/>
      <c r="I1003" s="8"/>
    </row>
    <row r="1004" spans="2:9" hidden="1">
      <c r="B1004" s="8"/>
      <c r="C1004" s="8"/>
      <c r="D1004" s="8"/>
      <c r="E1004" s="8"/>
      <c r="F1004" s="8"/>
      <c r="G1004" s="8"/>
      <c r="H1004" s="8"/>
      <c r="I1004" s="8"/>
    </row>
    <row r="1005" spans="2:9" hidden="1">
      <c r="B1005" s="8"/>
      <c r="C1005" s="8"/>
      <c r="D1005" s="8"/>
      <c r="E1005" s="8"/>
      <c r="F1005" s="8"/>
      <c r="G1005" s="8"/>
      <c r="H1005" s="8"/>
    </row>
    <row r="1006" spans="2:9" hidden="1">
      <c r="B1006" s="8"/>
      <c r="C1006" s="8"/>
      <c r="D1006" s="8"/>
      <c r="E1006" s="8"/>
      <c r="F1006" s="8"/>
      <c r="G1006" s="8"/>
      <c r="H1006" s="8"/>
    </row>
  </sheetData>
  <sheetProtection password="8B16" sheet="1" objects="1" scenarios="1"/>
  <mergeCells count="7">
    <mergeCell ref="B2:H3"/>
    <mergeCell ref="H15:H16"/>
    <mergeCell ref="F11:F12"/>
    <mergeCell ref="F15:F16"/>
    <mergeCell ref="B14:B15"/>
    <mergeCell ref="G9:G10"/>
    <mergeCell ref="F5:G5"/>
  </mergeCells>
  <phoneticPr fontId="0" type="noConversion"/>
  <printOptions horizontalCentered="1" verticalCentered="1"/>
  <pageMargins left="0.25" right="0.25" top="0.75" bottom="0.75" header="0.3" footer="0.3"/>
  <pageSetup scale="92" orientation="landscape" horizontalDpi="1200" r:id="rId1"/>
  <headerFooter alignWithMargins="0">
    <oddFooter>&amp;CAWWA Free Water Audit Software v5.0&amp;R&amp;A     &amp;P</oddFooter>
  </headerFooter>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M27"/>
  <sheetViews>
    <sheetView workbookViewId="0">
      <selection activeCell="N8" sqref="N8"/>
    </sheetView>
  </sheetViews>
  <sheetFormatPr defaultRowHeight="13.2"/>
  <cols>
    <col min="1" max="1" width="2.6640625" customWidth="1"/>
    <col min="2" max="2" width="61.6640625" customWidth="1"/>
    <col min="3" max="3" width="6.88671875" customWidth="1"/>
    <col min="4" max="4" width="8.88671875" customWidth="1"/>
    <col min="5" max="5" width="9.33203125" bestFit="1" customWidth="1"/>
    <col min="6" max="6" width="8.6640625" bestFit="1" customWidth="1"/>
    <col min="7" max="7" width="12.5546875" bestFit="1" customWidth="1"/>
    <col min="8" max="8" width="10.109375" customWidth="1"/>
    <col min="9" max="9" width="10.6640625" bestFit="1" customWidth="1"/>
    <col min="10" max="10" width="9.33203125" customWidth="1"/>
    <col min="11" max="11" width="11.44140625" bestFit="1" customWidth="1"/>
    <col min="12" max="12" width="9.44140625" bestFit="1" customWidth="1"/>
    <col min="13" max="13" width="13.5546875" bestFit="1" customWidth="1"/>
  </cols>
  <sheetData>
    <row r="1" spans="1:13" ht="129.6" customHeight="1"/>
    <row r="2" spans="1:13">
      <c r="G2" s="45" t="s">
        <v>102</v>
      </c>
    </row>
    <row r="3" spans="1:13">
      <c r="C3" s="44" t="s">
        <v>99</v>
      </c>
      <c r="D3" s="44" t="s">
        <v>100</v>
      </c>
      <c r="E3" s="44" t="s">
        <v>103</v>
      </c>
      <c r="F3" s="44" t="s">
        <v>104</v>
      </c>
      <c r="G3" s="44" t="s">
        <v>101</v>
      </c>
      <c r="H3" s="44" t="s">
        <v>105</v>
      </c>
      <c r="I3" s="44" t="s">
        <v>144</v>
      </c>
      <c r="J3" s="44"/>
      <c r="K3" s="44" t="s">
        <v>142</v>
      </c>
      <c r="L3" s="44" t="s">
        <v>141</v>
      </c>
      <c r="M3" s="44" t="s">
        <v>143</v>
      </c>
    </row>
    <row r="4" spans="1:13" ht="13.8">
      <c r="B4" s="52" t="s">
        <v>131</v>
      </c>
      <c r="C4" s="50">
        <f>IF('Reporting Worksheet'!E15="n/a",0,'Reporting Worksheet'!E15)</f>
        <v>0</v>
      </c>
      <c r="D4" s="135">
        <f>'Reporting Worksheet'!T15</f>
        <v>0</v>
      </c>
      <c r="E4" s="51">
        <f t="shared" ref="E4:E9" si="0">D4</f>
        <v>0</v>
      </c>
      <c r="F4" s="51">
        <f>IF(D4&lt;&gt;0,E4/10,0)</f>
        <v>0</v>
      </c>
      <c r="G4" s="48">
        <f t="shared" ref="G4:G23" si="1">C4*F4</f>
        <v>0</v>
      </c>
      <c r="H4" s="49">
        <f t="shared" ref="H4:H23" si="2">IF(F4=0,0,E4-G4)</f>
        <v>0</v>
      </c>
      <c r="I4">
        <f t="array" aca="1" ref="I4" ca="1">SUM(1*(H4&lt;$H$4:$H$23))+1+IF(ROW(H4)-ROW($H$4)=0,0,SUM(1*(H4=OFFSET($H$4,0,0,INDEX(ROW(H4)-ROW($H$4)+1,1)-1,1))))</f>
        <v>14</v>
      </c>
      <c r="J4" s="232" t="s">
        <v>153</v>
      </c>
      <c r="K4">
        <f>IF(D4&lt;&gt;0,1,0)</f>
        <v>0</v>
      </c>
      <c r="L4">
        <f t="shared" ref="L4:L23" si="3">IF(C4&gt;0,1,0)</f>
        <v>0</v>
      </c>
      <c r="M4">
        <f t="shared" ref="M4:M23" si="4">IF(AND(K4=1,L4=0),1,0)</f>
        <v>0</v>
      </c>
    </row>
    <row r="5" spans="1:13">
      <c r="B5" s="510" t="s">
        <v>646</v>
      </c>
      <c r="C5" s="50">
        <f>IF('Reporting Worksheet'!J15="n/a",0,'Reporting Worksheet'!J15)</f>
        <v>7</v>
      </c>
      <c r="D5" s="135">
        <f>'Reporting Worksheet'!U15</f>
        <v>0</v>
      </c>
      <c r="E5" s="51">
        <f t="shared" si="0"/>
        <v>0</v>
      </c>
      <c r="F5" s="51">
        <f t="shared" ref="F5:F23" si="5">IF(D5&lt;&gt;0,E5/10,0)</f>
        <v>0</v>
      </c>
      <c r="G5" s="48">
        <f t="shared" si="1"/>
        <v>0</v>
      </c>
      <c r="H5" s="49">
        <f t="shared" si="2"/>
        <v>0</v>
      </c>
      <c r="I5">
        <f t="array" aca="1" ref="I5" ca="1">SUM(1*(H5&lt;$H$4:$H$23))+1+IF(ROW(H5)-ROW($H$4)=0,0,SUM(1*(H5=OFFSET($H$4,0,0,INDEX(ROW(H5)-ROW($H$4)+1,1)-1,1))))</f>
        <v>15</v>
      </c>
      <c r="J5" s="232" t="s">
        <v>29</v>
      </c>
      <c r="K5" s="621">
        <f t="shared" ref="K5:K23" si="6">IF(D5&lt;&gt;0,1,0)</f>
        <v>0</v>
      </c>
      <c r="L5">
        <f t="shared" si="3"/>
        <v>1</v>
      </c>
      <c r="M5">
        <f t="shared" si="4"/>
        <v>0</v>
      </c>
    </row>
    <row r="6" spans="1:13" ht="13.8">
      <c r="B6" s="52" t="s">
        <v>4</v>
      </c>
      <c r="C6" s="50">
        <f>IF('Reporting Worksheet'!E16="n/a",0,'Reporting Worksheet'!E16)</f>
        <v>7</v>
      </c>
      <c r="D6" s="135">
        <f>'Reporting Worksheet'!T16</f>
        <v>34.653465346534652</v>
      </c>
      <c r="E6" s="51">
        <f t="shared" si="0"/>
        <v>34.653465346534652</v>
      </c>
      <c r="F6" s="51">
        <f t="shared" si="5"/>
        <v>3.4653465346534653</v>
      </c>
      <c r="G6" s="48">
        <f t="shared" si="1"/>
        <v>24.257425742574256</v>
      </c>
      <c r="H6" s="49">
        <f t="shared" si="2"/>
        <v>10.396039603960396</v>
      </c>
      <c r="I6">
        <f t="array" aca="1" ref="I6" ca="1">SUM(1*(H6&lt;$H$4:$H$23))+1+IF(ROW(H6)-ROW($H$4)=0,0,SUM(1*(H6=OFFSET($H$4,0,0,INDEX(ROW(H6)-ROW($H$4)+1,1)-1,1))))</f>
        <v>1</v>
      </c>
      <c r="J6" s="232" t="s">
        <v>152</v>
      </c>
      <c r="K6">
        <f t="shared" si="6"/>
        <v>1</v>
      </c>
      <c r="L6">
        <f t="shared" si="3"/>
        <v>1</v>
      </c>
      <c r="M6">
        <f t="shared" si="4"/>
        <v>0</v>
      </c>
    </row>
    <row r="7" spans="1:13">
      <c r="B7" s="510" t="s">
        <v>490</v>
      </c>
      <c r="C7" s="50">
        <f>IF('Reporting Worksheet'!J16="n/a",0,'Reporting Worksheet'!J16)</f>
        <v>7</v>
      </c>
      <c r="D7" s="135">
        <f>'Reporting Worksheet'!U16</f>
        <v>0.34653465346534656</v>
      </c>
      <c r="E7" s="51">
        <f t="shared" si="0"/>
        <v>0.34653465346534656</v>
      </c>
      <c r="F7" s="51">
        <f t="shared" si="5"/>
        <v>3.4653465346534656E-2</v>
      </c>
      <c r="G7" s="48">
        <f t="shared" si="1"/>
        <v>0.2425742574257426</v>
      </c>
      <c r="H7" s="49">
        <f t="shared" si="2"/>
        <v>0.10396039603960397</v>
      </c>
      <c r="I7">
        <f t="array" aca="1" ref="I7" ca="1">SUM(1*(H7&lt;$H$4:$H$23))+1+IF(ROW(H7)-ROW($H$4)=0,0,SUM(1*(H7=OFFSET($H$4,0,0,INDEX(ROW(H7)-ROW($H$4)+1,1)-1,1))))</f>
        <v>13</v>
      </c>
      <c r="J7" s="232" t="s">
        <v>306</v>
      </c>
      <c r="K7" s="621">
        <f t="shared" si="6"/>
        <v>1</v>
      </c>
      <c r="L7">
        <f t="shared" si="3"/>
        <v>1</v>
      </c>
      <c r="M7">
        <f t="shared" si="4"/>
        <v>0</v>
      </c>
    </row>
    <row r="8" spans="1:13" ht="13.8">
      <c r="B8" s="52" t="s">
        <v>5</v>
      </c>
      <c r="C8" s="50">
        <f>IF('Reporting Worksheet'!E17="n/a",0,'Reporting Worksheet'!E17)</f>
        <v>0</v>
      </c>
      <c r="D8" s="135">
        <f>'Reporting Worksheet'!T17</f>
        <v>0</v>
      </c>
      <c r="E8" s="51">
        <f t="shared" si="0"/>
        <v>0</v>
      </c>
      <c r="F8" s="51">
        <f t="shared" si="5"/>
        <v>0</v>
      </c>
      <c r="G8" s="48">
        <f t="shared" si="1"/>
        <v>0</v>
      </c>
      <c r="H8" s="49">
        <f t="shared" si="2"/>
        <v>0</v>
      </c>
      <c r="I8">
        <f t="array" aca="1" ref="I8" ca="1">SUM(1*(H8&lt;$H$4:$H$23))+1+IF(ROW(H8)-ROW($H$4)=0,0,SUM(1*(H8=OFFSET($H$4,0,0,INDEX(ROW(H8)-ROW($H$4)+1,1)-1,1))))</f>
        <v>16</v>
      </c>
      <c r="J8" s="232" t="s">
        <v>154</v>
      </c>
      <c r="K8">
        <f t="shared" si="6"/>
        <v>0</v>
      </c>
      <c r="L8">
        <f t="shared" si="3"/>
        <v>0</v>
      </c>
      <c r="M8">
        <f t="shared" si="4"/>
        <v>0</v>
      </c>
    </row>
    <row r="9" spans="1:13">
      <c r="B9" s="511" t="s">
        <v>501</v>
      </c>
      <c r="C9" s="136">
        <f>IF('Reporting Worksheet'!J17="n/a",0,'Reporting Worksheet'!J17)</f>
        <v>0</v>
      </c>
      <c r="D9" s="137">
        <f>'Reporting Worksheet'!U17</f>
        <v>0</v>
      </c>
      <c r="E9" s="138">
        <f t="shared" si="0"/>
        <v>0</v>
      </c>
      <c r="F9" s="138">
        <f t="shared" si="5"/>
        <v>0</v>
      </c>
      <c r="G9" s="139">
        <f t="shared" si="1"/>
        <v>0</v>
      </c>
      <c r="H9" s="138">
        <f t="shared" si="2"/>
        <v>0</v>
      </c>
      <c r="I9" s="140">
        <f t="array" aca="1" ref="I9" ca="1">SUM(1*(H9&lt;$H$4:$H$23))+1+IF(ROW(H9)-ROW($H$4)=0,0,SUM(1*(H9=OFFSET($H$4,0,0,INDEX(ROW(H9)-ROW($H$4)+1,1)-1,1))))</f>
        <v>17</v>
      </c>
      <c r="J9" s="233" t="s">
        <v>307</v>
      </c>
      <c r="K9" s="621">
        <f t="shared" si="6"/>
        <v>0</v>
      </c>
      <c r="L9" s="140">
        <f t="shared" si="3"/>
        <v>0</v>
      </c>
      <c r="M9" s="140">
        <f t="shared" si="4"/>
        <v>0</v>
      </c>
    </row>
    <row r="10" spans="1:13" ht="13.8">
      <c r="B10" s="147" t="s">
        <v>132</v>
      </c>
      <c r="C10" s="148">
        <f>IF('Reporting Worksheet'!E23="n/a",0,'Reporting Worksheet'!E23)</f>
        <v>7</v>
      </c>
      <c r="D10" s="149">
        <f>IF(AND('Reporting Worksheet'!E23="n/a",'Reporting Worksheet'!G23=0),0,8)</f>
        <v>8</v>
      </c>
      <c r="E10" s="150">
        <f t="shared" ref="E10:E23" si="7">D10/$D$26</f>
        <v>9.1228070175438596</v>
      </c>
      <c r="F10" s="150">
        <f t="shared" si="5"/>
        <v>0.91228070175438591</v>
      </c>
      <c r="G10" s="150">
        <f t="shared" si="1"/>
        <v>6.3859649122807012</v>
      </c>
      <c r="H10" s="151">
        <f t="shared" si="2"/>
        <v>2.7368421052631584</v>
      </c>
      <c r="I10" s="152">
        <f t="array" aca="1" ref="I10" ca="1">SUM(1*(H10&lt;$H$4:$H$23))+1+IF(ROW(H10)-ROW($H$4)=0,0,SUM(1*(H10=OFFSET($H$4,0,0,INDEX(ROW(H10)-ROW($H$4)+1,1)-1,1))))</f>
        <v>2</v>
      </c>
      <c r="J10" s="234" t="s">
        <v>106</v>
      </c>
      <c r="K10" s="152">
        <f t="shared" si="6"/>
        <v>1</v>
      </c>
      <c r="L10" s="152">
        <f t="shared" si="3"/>
        <v>1</v>
      </c>
      <c r="M10" s="152">
        <f t="shared" si="4"/>
        <v>0</v>
      </c>
    </row>
    <row r="11" spans="1:13" ht="13.8">
      <c r="B11" s="154" t="s">
        <v>133</v>
      </c>
      <c r="C11" s="155">
        <f>IF('Reporting Worksheet'!E24="n/a",0,'Reporting Worksheet'!E24)</f>
        <v>7</v>
      </c>
      <c r="D11" s="156">
        <f>IF('Reporting Worksheet'!G24=0,0,6)</f>
        <v>6</v>
      </c>
      <c r="E11" s="157">
        <f t="shared" si="7"/>
        <v>6.8421052631578947</v>
      </c>
      <c r="F11" s="157">
        <f t="shared" si="5"/>
        <v>0.68421052631578949</v>
      </c>
      <c r="G11" s="157">
        <f t="shared" si="1"/>
        <v>4.7894736842105265</v>
      </c>
      <c r="H11" s="158">
        <f t="shared" si="2"/>
        <v>2.0526315789473681</v>
      </c>
      <c r="I11" s="159">
        <f t="array" aca="1" ref="I11" ca="1">SUM(1*(H11&lt;$H$4:$H$23))+1+IF(ROW(H11)-ROW($H$4)=0,0,SUM(1*(H11=OFFSET($H$4,0,0,INDEX(ROW(H11)-ROW($H$4)+1,1)-1,1))))</f>
        <v>5</v>
      </c>
      <c r="J11" s="235" t="s">
        <v>107</v>
      </c>
      <c r="K11" s="159">
        <f t="shared" si="6"/>
        <v>1</v>
      </c>
      <c r="L11" s="159">
        <f t="shared" si="3"/>
        <v>1</v>
      </c>
      <c r="M11" s="159">
        <f t="shared" si="4"/>
        <v>0</v>
      </c>
    </row>
    <row r="12" spans="1:13" ht="13.8">
      <c r="B12" s="154" t="s">
        <v>134</v>
      </c>
      <c r="C12" s="155">
        <f>IF('Reporting Worksheet'!E25="n/a",0,'Reporting Worksheet'!E25)</f>
        <v>7</v>
      </c>
      <c r="D12" s="156">
        <f>IF('Reporting Worksheet'!G25=0,0,6)</f>
        <v>6</v>
      </c>
      <c r="E12" s="157">
        <f t="shared" si="7"/>
        <v>6.8421052631578947</v>
      </c>
      <c r="F12" s="157">
        <f t="shared" si="5"/>
        <v>0.68421052631578949</v>
      </c>
      <c r="G12" s="157">
        <f t="shared" si="1"/>
        <v>4.7894736842105265</v>
      </c>
      <c r="H12" s="158">
        <f t="shared" si="2"/>
        <v>2.0526315789473681</v>
      </c>
      <c r="I12" s="159">
        <f t="array" aca="1" ref="I12" ca="1">SUM(1*(H12&lt;$H$4:$H$23))+1+IF(ROW(H12)-ROW($H$4)=0,0,SUM(1*(H12=OFFSET($H$4,0,0,INDEX(ROW(H12)-ROW($H$4)+1,1)-1,1))))</f>
        <v>6</v>
      </c>
      <c r="J12" s="235" t="s">
        <v>108</v>
      </c>
      <c r="K12" s="159">
        <f t="shared" si="6"/>
        <v>1</v>
      </c>
      <c r="L12" s="159">
        <f t="shared" si="3"/>
        <v>1</v>
      </c>
      <c r="M12" s="159">
        <f t="shared" si="4"/>
        <v>0</v>
      </c>
    </row>
    <row r="13" spans="1:13" ht="13.8">
      <c r="A13" t="s">
        <v>146</v>
      </c>
      <c r="B13" s="141" t="s">
        <v>135</v>
      </c>
      <c r="C13" s="153">
        <f>IF(OR('Reporting Worksheet'!R26=1,AND('Reporting Worksheet'!R26=2,'Reporting Worksheet'!N26=0)),5,'Reporting Worksheet'!E26)</f>
        <v>5</v>
      </c>
      <c r="D13" s="143">
        <v>1</v>
      </c>
      <c r="E13" s="144">
        <f t="shared" si="7"/>
        <v>1.1403508771929824</v>
      </c>
      <c r="F13" s="144">
        <f t="shared" si="5"/>
        <v>0.11403508771929824</v>
      </c>
      <c r="G13" s="144">
        <f t="shared" si="1"/>
        <v>0.57017543859649122</v>
      </c>
      <c r="H13" s="145">
        <f t="shared" si="2"/>
        <v>0.57017543859649122</v>
      </c>
      <c r="I13" s="146">
        <f t="array" aca="1" ref="I13" ca="1">SUM(1*(H13&lt;$H$4:$H$23))+1+IF(ROW(H13)-ROW($H$4)=0,0,SUM(1*(H13=OFFSET($H$4,0,0,INDEX(ROW(H13)-ROW($H$4)+1,1)-1,1))))</f>
        <v>8</v>
      </c>
      <c r="J13" s="236" t="s">
        <v>109</v>
      </c>
      <c r="K13" s="146">
        <f t="shared" si="6"/>
        <v>1</v>
      </c>
      <c r="L13" s="146">
        <f t="shared" si="3"/>
        <v>1</v>
      </c>
      <c r="M13" s="146">
        <f t="shared" si="4"/>
        <v>0</v>
      </c>
    </row>
    <row r="14" spans="1:13" ht="13.8">
      <c r="A14" t="s">
        <v>146</v>
      </c>
      <c r="B14" s="141" t="s">
        <v>136</v>
      </c>
      <c r="C14" s="153">
        <f>IF(OR('Reporting Worksheet'!R38=1,AND('Reporting Worksheet'!R38=2,'Reporting Worksheet'!N38=0)),5,'Reporting Worksheet'!E38)</f>
        <v>5</v>
      </c>
      <c r="D14" s="143">
        <v>4</v>
      </c>
      <c r="E14" s="144">
        <f t="shared" si="7"/>
        <v>4.5614035087719298</v>
      </c>
      <c r="F14" s="144">
        <f t="shared" si="5"/>
        <v>0.45614035087719296</v>
      </c>
      <c r="G14" s="144">
        <f t="shared" si="1"/>
        <v>2.2807017543859649</v>
      </c>
      <c r="H14" s="145">
        <f t="shared" si="2"/>
        <v>2.2807017543859649</v>
      </c>
      <c r="I14" s="146">
        <f t="array" aca="1" ref="I14" ca="1">SUM(1*(H14&lt;$H$4:$H$23))+1+IF(ROW(H14)-ROW($H$4)=0,0,SUM(1*(H14=OFFSET($H$4,0,0,INDEX(ROW(H14)-ROW($H$4)+1,1)-1,1))))</f>
        <v>3</v>
      </c>
      <c r="J14" s="236" t="s">
        <v>18</v>
      </c>
      <c r="K14" s="146">
        <f t="shared" si="6"/>
        <v>1</v>
      </c>
      <c r="L14" s="146">
        <f t="shared" si="3"/>
        <v>1</v>
      </c>
      <c r="M14" s="146">
        <f t="shared" si="4"/>
        <v>0</v>
      </c>
    </row>
    <row r="15" spans="1:13" ht="13.8">
      <c r="B15" s="147" t="s">
        <v>137</v>
      </c>
      <c r="C15" s="148">
        <f>IF('Reporting Worksheet'!E42="n/a",0,'Reporting Worksheet'!E42)</f>
        <v>7</v>
      </c>
      <c r="D15" s="149">
        <f>IF(AND('Reporting Worksheet'!E42="n/a",'Reporting Worksheet'!G42=0),0,6)</f>
        <v>6</v>
      </c>
      <c r="E15" s="150">
        <f t="shared" si="7"/>
        <v>6.8421052631578947</v>
      </c>
      <c r="F15" s="150">
        <f t="shared" si="5"/>
        <v>0.68421052631578949</v>
      </c>
      <c r="G15" s="150">
        <f t="shared" si="1"/>
        <v>4.7894736842105265</v>
      </c>
      <c r="H15" s="151">
        <f t="shared" si="2"/>
        <v>2.0526315789473681</v>
      </c>
      <c r="I15" s="152">
        <f t="array" aca="1" ref="I15" ca="1">SUM(1*(H15&lt;$H$4:$H$23))+1+IF(ROW(H15)-ROW($H$4)=0,0,SUM(1*(H15=OFFSET($H$4,0,0,INDEX(ROW(H15)-ROW($H$4)+1,1)-1,1))))</f>
        <v>7</v>
      </c>
      <c r="J15" s="234" t="s">
        <v>157</v>
      </c>
      <c r="K15" s="152">
        <f t="shared" si="6"/>
        <v>1</v>
      </c>
      <c r="L15" s="152">
        <f t="shared" si="3"/>
        <v>1</v>
      </c>
      <c r="M15" s="152">
        <f t="shared" si="4"/>
        <v>0</v>
      </c>
    </row>
    <row r="16" spans="1:13" ht="13.8">
      <c r="B16" s="141" t="s">
        <v>3</v>
      </c>
      <c r="C16" s="142">
        <f>IF('Reporting Worksheet'!G43=0,1,IF('Reporting Worksheet'!R43=1,5,'Reporting Worksheet'!E43))</f>
        <v>5</v>
      </c>
      <c r="D16" s="143">
        <v>4</v>
      </c>
      <c r="E16" s="144">
        <f t="shared" si="7"/>
        <v>4.5614035087719298</v>
      </c>
      <c r="F16" s="144">
        <f t="shared" si="5"/>
        <v>0.45614035087719296</v>
      </c>
      <c r="G16" s="144">
        <f t="shared" si="1"/>
        <v>2.2807017543859649</v>
      </c>
      <c r="H16" s="145">
        <f t="shared" si="2"/>
        <v>2.2807017543859649</v>
      </c>
      <c r="I16" s="146">
        <f t="array" aca="1" ref="I16" ca="1">SUM(1*(H16&lt;$H$4:$H$23))+1+IF(ROW(H16)-ROW($H$4)=0,0,SUM(1*(H16=OFFSET($H$4,0,0,INDEX(ROW(H16)-ROW($H$4)+1,1)-1,1))))</f>
        <v>4</v>
      </c>
      <c r="J16" s="236" t="s">
        <v>19</v>
      </c>
      <c r="K16" s="146">
        <f t="shared" si="6"/>
        <v>1</v>
      </c>
      <c r="L16" s="146">
        <f t="shared" si="3"/>
        <v>1</v>
      </c>
      <c r="M16" s="146">
        <f t="shared" si="4"/>
        <v>0</v>
      </c>
    </row>
    <row r="17" spans="2:13" ht="13.8">
      <c r="B17" s="141" t="s">
        <v>138</v>
      </c>
      <c r="C17" s="142">
        <f>'Reporting Worksheet'!E62</f>
        <v>7</v>
      </c>
      <c r="D17" s="143">
        <v>1</v>
      </c>
      <c r="E17" s="144">
        <f t="shared" si="7"/>
        <v>1.1403508771929824</v>
      </c>
      <c r="F17" s="144">
        <f t="shared" si="5"/>
        <v>0.11403508771929824</v>
      </c>
      <c r="G17" s="144">
        <f t="shared" si="1"/>
        <v>0.79824561403508765</v>
      </c>
      <c r="H17" s="145">
        <f t="shared" si="2"/>
        <v>0.3421052631578948</v>
      </c>
      <c r="I17" s="146">
        <f t="array" aca="1" ref="I17" ca="1">SUM(1*(H17&lt;$H$4:$H$23))+1+IF(ROW(H17)-ROW($H$4)=0,0,SUM(1*(H17=OFFSET($H$4,0,0,INDEX(ROW(H17)-ROW($H$4)+1,1)-1,1))))</f>
        <v>9</v>
      </c>
      <c r="J17" s="236" t="s">
        <v>122</v>
      </c>
      <c r="K17" s="146">
        <f t="shared" si="6"/>
        <v>1</v>
      </c>
      <c r="L17" s="146">
        <f t="shared" si="3"/>
        <v>1</v>
      </c>
      <c r="M17" s="146">
        <f t="shared" si="4"/>
        <v>0</v>
      </c>
    </row>
    <row r="18" spans="2:13" ht="13.8">
      <c r="B18" s="141" t="s">
        <v>128</v>
      </c>
      <c r="C18" s="142">
        <f>'Reporting Worksheet'!E63</f>
        <v>7</v>
      </c>
      <c r="D18" s="143">
        <v>1</v>
      </c>
      <c r="E18" s="144">
        <f t="shared" si="7"/>
        <v>1.1403508771929824</v>
      </c>
      <c r="F18" s="144">
        <f t="shared" si="5"/>
        <v>0.11403508771929824</v>
      </c>
      <c r="G18" s="144">
        <f t="shared" si="1"/>
        <v>0.79824561403508765</v>
      </c>
      <c r="H18" s="145">
        <f t="shared" si="2"/>
        <v>0.3421052631578948</v>
      </c>
      <c r="I18" s="146">
        <f t="array" aca="1" ref="I18" ca="1">SUM(1*(H18&lt;$H$4:$H$23))+1+IF(ROW(H18)-ROW($H$4)=0,0,SUM(1*(H18=OFFSET($H$4,0,0,INDEX(ROW(H18)-ROW($H$4)+1,1)-1,1))))</f>
        <v>10</v>
      </c>
      <c r="J18" s="236" t="s">
        <v>110</v>
      </c>
      <c r="K18" s="146">
        <f t="shared" si="6"/>
        <v>1</v>
      </c>
      <c r="L18" s="146">
        <f t="shared" si="3"/>
        <v>1</v>
      </c>
      <c r="M18" s="146">
        <f t="shared" si="4"/>
        <v>0</v>
      </c>
    </row>
    <row r="19" spans="2:13" ht="13.8">
      <c r="B19" s="141" t="s">
        <v>205</v>
      </c>
      <c r="C19" s="142">
        <f>'Reporting Worksheet'!R67</f>
        <v>7</v>
      </c>
      <c r="D19" s="143">
        <v>1</v>
      </c>
      <c r="E19" s="144">
        <f t="shared" si="7"/>
        <v>1.1403508771929824</v>
      </c>
      <c r="F19" s="144">
        <f t="shared" si="5"/>
        <v>0.11403508771929824</v>
      </c>
      <c r="G19" s="144">
        <f t="shared" si="1"/>
        <v>0.79824561403508765</v>
      </c>
      <c r="H19" s="145">
        <f t="shared" si="2"/>
        <v>0.3421052631578948</v>
      </c>
      <c r="I19" s="146">
        <f t="array" aca="1" ref="I19" ca="1">SUM(1*(H19&lt;$H$4:$H$23))+1+IF(ROW(H19)-ROW($H$4)=0,0,SUM(1*(H19=OFFSET($H$4,0,0,INDEX(ROW(H19)-ROW($H$4)+1,1)-1,1))))</f>
        <v>11</v>
      </c>
      <c r="J19" s="236" t="s">
        <v>204</v>
      </c>
      <c r="K19" s="146">
        <f t="shared" si="6"/>
        <v>1</v>
      </c>
      <c r="L19" s="146">
        <f t="shared" si="3"/>
        <v>1</v>
      </c>
      <c r="M19" s="146">
        <f t="shared" si="4"/>
        <v>0</v>
      </c>
    </row>
    <row r="20" spans="2:13" ht="13.8">
      <c r="B20" s="141" t="s">
        <v>139</v>
      </c>
      <c r="C20" s="142">
        <f>'Reporting Worksheet'!E69</f>
        <v>7</v>
      </c>
      <c r="D20" s="143">
        <v>1</v>
      </c>
      <c r="E20" s="144">
        <f t="shared" si="7"/>
        <v>1.1403508771929824</v>
      </c>
      <c r="F20" s="144">
        <f t="shared" si="5"/>
        <v>0.11403508771929824</v>
      </c>
      <c r="G20" s="144">
        <f t="shared" si="1"/>
        <v>0.79824561403508765</v>
      </c>
      <c r="H20" s="145">
        <f t="shared" si="2"/>
        <v>0.3421052631578948</v>
      </c>
      <c r="I20" s="146">
        <f t="array" aca="1" ref="I20" ca="1">SUM(1*(H20&lt;$H$4:$H$23))+1+IF(ROW(H20)-ROW($H$4)=0,0,SUM(1*(H20=OFFSET($H$4,0,0,INDEX(ROW(H20)-ROW($H$4)+1,1)-1,1))))</f>
        <v>12</v>
      </c>
      <c r="J20" s="236" t="s">
        <v>21</v>
      </c>
      <c r="K20" s="146">
        <f t="shared" si="6"/>
        <v>1</v>
      </c>
      <c r="L20" s="146">
        <f t="shared" si="3"/>
        <v>1</v>
      </c>
      <c r="M20" s="146">
        <f t="shared" si="4"/>
        <v>0</v>
      </c>
    </row>
    <row r="21" spans="2:13" ht="13.8">
      <c r="B21" s="141" t="s">
        <v>140</v>
      </c>
      <c r="C21" s="142">
        <f>'Reporting Worksheet'!E76</f>
        <v>10</v>
      </c>
      <c r="D21" s="143">
        <v>6</v>
      </c>
      <c r="E21" s="144">
        <f t="shared" si="7"/>
        <v>6.8421052631578947</v>
      </c>
      <c r="F21" s="144">
        <f t="shared" si="5"/>
        <v>0.68421052631578949</v>
      </c>
      <c r="G21" s="144">
        <f t="shared" si="1"/>
        <v>6.8421052631578947</v>
      </c>
      <c r="H21" s="145">
        <f t="shared" si="2"/>
        <v>0</v>
      </c>
      <c r="I21" s="146">
        <f t="array" aca="1" ref="I21" ca="1">SUM(1*(H21&lt;$H$4:$H$23))+1+IF(ROW(H21)-ROW($H$4)=0,0,SUM(1*(H21=OFFSET($H$4,0,0,INDEX(ROW(H21)-ROW($H$4)+1,1)-1,1))))</f>
        <v>18</v>
      </c>
      <c r="J21" s="236" t="s">
        <v>111</v>
      </c>
      <c r="K21" s="146">
        <f t="shared" si="6"/>
        <v>1</v>
      </c>
      <c r="L21" s="146">
        <f t="shared" si="3"/>
        <v>1</v>
      </c>
      <c r="M21" s="146">
        <f t="shared" si="4"/>
        <v>0</v>
      </c>
    </row>
    <row r="22" spans="2:13" ht="13.8">
      <c r="B22" s="141" t="s">
        <v>129</v>
      </c>
      <c r="C22" s="142">
        <f>'Reporting Worksheet'!E77</f>
        <v>10</v>
      </c>
      <c r="D22" s="143">
        <v>6</v>
      </c>
      <c r="E22" s="144">
        <f t="shared" si="7"/>
        <v>6.8421052631578947</v>
      </c>
      <c r="F22" s="144">
        <f t="shared" si="5"/>
        <v>0.68421052631578949</v>
      </c>
      <c r="G22" s="144">
        <f t="shared" si="1"/>
        <v>6.8421052631578947</v>
      </c>
      <c r="H22" s="145">
        <f t="shared" si="2"/>
        <v>0</v>
      </c>
      <c r="I22" s="146">
        <f t="array" aca="1" ref="I22" ca="1">SUM(1*(H22&lt;$H$4:$H$23))+1+IF(ROW(H22)-ROW($H$4)=0,0,SUM(1*(H22=OFFSET($H$4,0,0,INDEX(ROW(H22)-ROW($H$4)+1,1)-1,1))))</f>
        <v>19</v>
      </c>
      <c r="J22" s="236" t="s">
        <v>127</v>
      </c>
      <c r="K22" s="146">
        <f t="shared" si="6"/>
        <v>1</v>
      </c>
      <c r="L22" s="146">
        <f t="shared" si="3"/>
        <v>1</v>
      </c>
      <c r="M22" s="146">
        <f t="shared" si="4"/>
        <v>0</v>
      </c>
    </row>
    <row r="23" spans="2:13" ht="13.8">
      <c r="B23" s="141" t="s">
        <v>130</v>
      </c>
      <c r="C23" s="142">
        <f>IF('Reporting Worksheet'!E78="n/a",0,'Reporting Worksheet'!E78)</f>
        <v>10</v>
      </c>
      <c r="D23" s="143">
        <v>6</v>
      </c>
      <c r="E23" s="144">
        <f t="shared" si="7"/>
        <v>6.8421052631578947</v>
      </c>
      <c r="F23" s="144">
        <f t="shared" si="5"/>
        <v>0.68421052631578949</v>
      </c>
      <c r="G23" s="144">
        <f t="shared" si="1"/>
        <v>6.8421052631578947</v>
      </c>
      <c r="H23" s="145">
        <f t="shared" si="2"/>
        <v>0</v>
      </c>
      <c r="I23" s="146">
        <f t="array" aca="1" ref="I23" ca="1">SUM(1*(H23&lt;$H$4:$H$23))+1+IF(ROW(H23)-ROW($H$4)=0,0,SUM(1*(H23=OFFSET($H$4,0,0,INDEX(ROW(H23)-ROW($H$4)+1,1)-1,1))))</f>
        <v>20</v>
      </c>
      <c r="J23" s="236" t="s">
        <v>168</v>
      </c>
      <c r="K23" s="146">
        <f t="shared" si="6"/>
        <v>1</v>
      </c>
      <c r="L23" s="146">
        <f t="shared" si="3"/>
        <v>1</v>
      </c>
      <c r="M23" s="146">
        <f t="shared" si="4"/>
        <v>0</v>
      </c>
    </row>
    <row r="24" spans="2:13">
      <c r="D24" s="160">
        <f>SUM(D4:D23)</f>
        <v>92</v>
      </c>
      <c r="E24" s="47">
        <f>SUM(E4:E23)</f>
        <v>100.00000000000001</v>
      </c>
      <c r="F24" s="47">
        <f>SUM(F4:F23)</f>
        <v>9.9999999999999982</v>
      </c>
      <c r="G24" s="354">
        <f>SUM(G4:G23)</f>
        <v>74.10526315789474</v>
      </c>
      <c r="M24" s="54">
        <f>SUM(M4:M23)</f>
        <v>0</v>
      </c>
    </row>
    <row r="25" spans="2:13">
      <c r="D25" s="47">
        <f>SUM(D10:D23)</f>
        <v>57</v>
      </c>
      <c r="J25" s="237"/>
      <c r="M25" s="53"/>
    </row>
    <row r="26" spans="2:13">
      <c r="D26" s="46">
        <f>D25/(100-D27)</f>
        <v>0.87692307692307692</v>
      </c>
    </row>
    <row r="27" spans="2:13">
      <c r="C27" s="220" t="s">
        <v>304</v>
      </c>
      <c r="D27" s="221">
        <v>35</v>
      </c>
      <c r="L27">
        <f>IF(SUM('Reporting Worksheet'!R26,'Reporting Worksheet'!R38)=2,2,IF(SUM('Reporting Worksheet'!R26,'Reporting Worksheet'!R38)=3,1,0))</f>
        <v>2</v>
      </c>
      <c r="M27" t="s">
        <v>145</v>
      </c>
    </row>
  </sheetData>
  <sheetProtection password="8B16" sheet="1" objects="1" scenarios="1"/>
  <phoneticPr fontId="22" type="noConversion"/>
  <conditionalFormatting sqref="B8:D8 B11:H23 B4:H4 D7 D9 B6:D6 B10:F10 G5:H10 E5:F9 C5:D5">
    <cfRule type="expression" dxfId="43" priority="4" stopIfTrue="1">
      <formula>$I4=1</formula>
    </cfRule>
    <cfRule type="expression" dxfId="42" priority="5" stopIfTrue="1">
      <formula>$I4=2</formula>
    </cfRule>
    <cfRule type="expression" dxfId="41" priority="6" stopIfTrue="1">
      <formula>$I4=3</formula>
    </cfRule>
  </conditionalFormatting>
  <conditionalFormatting sqref="I4:I23">
    <cfRule type="cellIs" dxfId="40" priority="7" stopIfTrue="1" operator="equal">
      <formula>1</formula>
    </cfRule>
    <cfRule type="cellIs" dxfId="39" priority="8" stopIfTrue="1" operator="equal">
      <formula>2</formula>
    </cfRule>
    <cfRule type="cellIs" dxfId="38" priority="9" stopIfTrue="1" operator="equal">
      <formula>3</formula>
    </cfRule>
  </conditionalFormatting>
  <conditionalFormatting sqref="C7">
    <cfRule type="expression" dxfId="37" priority="97" stopIfTrue="1">
      <formula>#REF!=1</formula>
    </cfRule>
    <cfRule type="expression" dxfId="36" priority="98" stopIfTrue="1">
      <formula>#REF!=2</formula>
    </cfRule>
    <cfRule type="expression" dxfId="35" priority="99" stopIfTrue="1">
      <formula>#REF!=3</formula>
    </cfRule>
  </conditionalFormatting>
  <conditionalFormatting sqref="C9">
    <cfRule type="expression" dxfId="34" priority="103" stopIfTrue="1">
      <formula>#REF!=1</formula>
    </cfRule>
    <cfRule type="expression" dxfId="33" priority="104" stopIfTrue="1">
      <formula>#REF!=2</formula>
    </cfRule>
    <cfRule type="expression" dxfId="32" priority="105" stopIfTrue="1">
      <formula>#REF!=3</formula>
    </cfRule>
  </conditionalFormatting>
  <conditionalFormatting sqref="B5">
    <cfRule type="expression" dxfId="31" priority="3" stopIfTrue="1">
      <formula>Q5=1</formula>
    </cfRule>
  </conditionalFormatting>
  <conditionalFormatting sqref="B7">
    <cfRule type="expression" dxfId="30" priority="2" stopIfTrue="1">
      <formula>Q7=1</formula>
    </cfRule>
  </conditionalFormatting>
  <conditionalFormatting sqref="B9">
    <cfRule type="expression" dxfId="29" priority="1" stopIfTrue="1">
      <formula>Q9=1</formula>
    </cfRule>
  </conditionalFormatting>
  <pageMargins left="0.75" right="0.75" top="1" bottom="1" header="0.5" footer="0.5"/>
  <pageSetup orientation="portrait" r:id="rId1"/>
  <headerFooter alignWithMargins="0"/>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9">
    <tabColor theme="3" tint="0.79998168889431442"/>
    <pageSetUpPr fitToPage="1"/>
  </sheetPr>
  <dimension ref="A1:IU38"/>
  <sheetViews>
    <sheetView showGridLines="0" showRowColHeaders="0" zoomScaleNormal="100" workbookViewId="0">
      <selection activeCell="L5" sqref="L5"/>
    </sheetView>
  </sheetViews>
  <sheetFormatPr defaultColWidth="0" defaultRowHeight="13.2" zeroHeight="1"/>
  <cols>
    <col min="1" max="1" width="1" style="76" customWidth="1"/>
    <col min="2" max="2" width="15.5546875" style="76" customWidth="1"/>
    <col min="3" max="3" width="16.33203125" style="76" customWidth="1"/>
    <col min="4" max="4" width="10.6640625" style="76" customWidth="1"/>
    <col min="5" max="5" width="12.5546875" style="76" customWidth="1"/>
    <col min="6" max="11" width="10.44140625" style="76" customWidth="1"/>
    <col min="12" max="12" width="8.33203125" style="76" customWidth="1"/>
    <col min="13" max="13" width="4.44140625" style="76" customWidth="1"/>
    <col min="14" max="14" width="18.44140625" style="76" customWidth="1"/>
    <col min="15" max="15" width="10.44140625" style="76" customWidth="1"/>
    <col min="16" max="16" width="8.88671875" style="76" customWidth="1"/>
    <col min="17" max="17" width="3.109375" style="76" customWidth="1"/>
    <col min="18" max="18" width="4.88671875" style="96" hidden="1" customWidth="1"/>
    <col min="19" max="19" width="17.33203125" style="96" hidden="1" customWidth="1"/>
    <col min="20" max="20" width="3" style="96" hidden="1" customWidth="1"/>
    <col min="21" max="21" width="15.88671875" style="96" hidden="1" customWidth="1"/>
    <col min="22" max="22" width="13.5546875" style="96" hidden="1" customWidth="1"/>
    <col min="23" max="23" width="14.5546875" style="96" hidden="1" customWidth="1"/>
    <col min="24" max="255" width="8.88671875" style="96" hidden="1" customWidth="1"/>
    <col min="256" max="16384" width="2.5546875" style="96" hidden="1"/>
  </cols>
  <sheetData>
    <row r="1" spans="1:19" ht="7.2" customHeight="1" thickBot="1"/>
    <row r="2" spans="1:19" s="97" customFormat="1" ht="42" customHeight="1" thickBot="1">
      <c r="A2" s="77"/>
      <c r="B2" s="753" t="s">
        <v>322</v>
      </c>
      <c r="C2" s="754"/>
      <c r="D2" s="754"/>
      <c r="E2" s="754"/>
      <c r="F2" s="754"/>
      <c r="G2" s="754"/>
      <c r="H2" s="754"/>
      <c r="I2" s="754"/>
      <c r="J2" s="754"/>
      <c r="K2" s="754"/>
      <c r="L2" s="754"/>
      <c r="M2" s="754"/>
      <c r="N2" s="754"/>
      <c r="O2" s="754"/>
      <c r="P2" s="755"/>
      <c r="Q2" s="77"/>
      <c r="R2" s="96"/>
    </row>
    <row r="3" spans="1:19" s="97" customFormat="1" ht="5.4" customHeight="1">
      <c r="A3" s="77"/>
      <c r="B3" s="77"/>
      <c r="C3" s="77"/>
      <c r="D3" s="77"/>
      <c r="E3" s="77"/>
      <c r="F3" s="77"/>
      <c r="G3" s="77"/>
      <c r="H3" s="77"/>
      <c r="I3" s="77"/>
      <c r="J3" s="77"/>
      <c r="K3" s="77"/>
      <c r="L3" s="77"/>
      <c r="M3" s="77"/>
      <c r="N3" s="77"/>
      <c r="O3" s="77"/>
      <c r="P3" s="77"/>
      <c r="Q3" s="77"/>
      <c r="R3" s="96"/>
    </row>
    <row r="4" spans="1:19" s="97" customFormat="1" ht="14.4" customHeight="1">
      <c r="A4" s="77"/>
      <c r="B4" s="77"/>
      <c r="C4" s="77"/>
      <c r="D4" s="77"/>
      <c r="E4" s="77"/>
      <c r="F4" s="224" t="s">
        <v>165</v>
      </c>
      <c r="G4" s="758" t="str">
        <f>IF(ISBLANK(Instructions!D18),"&lt;&lt; Please enter system details and contact information on the Instructions tab &gt;&gt;",Instructions!D18&amp;IF(ISBLANK(Instructions!D36),"","  ("&amp;Instructions!D36&amp;")"))</f>
        <v>XYZ Water Company  (ND123456789)</v>
      </c>
      <c r="H4" s="759"/>
      <c r="I4" s="759"/>
      <c r="J4" s="760"/>
      <c r="K4" s="760"/>
      <c r="L4" s="760"/>
      <c r="M4" s="760"/>
      <c r="N4" s="761"/>
      <c r="O4" s="77"/>
      <c r="P4" s="77"/>
      <c r="Q4" s="77"/>
      <c r="R4" s="96"/>
    </row>
    <row r="5" spans="1:19" ht="16.95" customHeight="1">
      <c r="F5" s="224" t="s">
        <v>166</v>
      </c>
      <c r="G5" s="618">
        <f>IF(ISBLANK(Instructions!D26),"",Instructions!D26)</f>
        <v>2017</v>
      </c>
      <c r="H5" s="756" t="str">
        <f>IF(ISBLANK(Instructions!D26),"",IF(Instructions!E26="Calendar Year","1/"&amp;Instructions!D26&amp;" - "&amp;"12/"&amp;Instructions!D26,IF(OR(ISBLANK(Instructions!D28),ISBLANK(Instructions!D30)),"",MONTH(Instructions!D28)&amp;"/"&amp;YEAR(Instructions!D28)&amp;" - "&amp;MONTH(Instructions!D30)&amp;"/"&amp;YEAR(Instructions!D30))))</f>
        <v>1/2017 - 12/2017</v>
      </c>
      <c r="I5" s="757"/>
      <c r="J5" s="614"/>
      <c r="K5" s="614"/>
      <c r="L5" s="614"/>
      <c r="M5" s="614"/>
      <c r="N5" s="79" t="s">
        <v>351</v>
      </c>
    </row>
    <row r="6" spans="1:19" ht="16.95" customHeight="1">
      <c r="B6" s="79"/>
      <c r="F6" s="224" t="s">
        <v>679</v>
      </c>
      <c r="G6" s="618">
        <f>IF(ISBLANK(Instructions!$D$34),"N/A*",IF(GradingAssessment!M24&gt;0,"N/A*",ROUND(GradingAssessment!G24,0)))</f>
        <v>74</v>
      </c>
      <c r="H6" s="616" t="str">
        <f>IF(G6="N/A*","* Confirm Units and Data Grading are Complete","")</f>
        <v/>
      </c>
      <c r="I6" s="615"/>
      <c r="J6" s="615"/>
      <c r="K6" s="615"/>
      <c r="L6" s="615"/>
      <c r="M6" s="615"/>
      <c r="N6" s="79" t="s">
        <v>352</v>
      </c>
      <c r="S6" s="622">
        <v>2</v>
      </c>
    </row>
    <row r="7" spans="1:19" ht="13.2" customHeight="1"/>
    <row r="8" spans="1:19" ht="13.95" customHeight="1">
      <c r="B8" s="79"/>
    </row>
    <row r="9" spans="1:19" ht="13.95" customHeight="1">
      <c r="B9" s="79"/>
      <c r="C9" s="95"/>
    </row>
    <row r="10" spans="1:19" ht="13.95" customHeight="1">
      <c r="B10" s="79"/>
    </row>
    <row r="11" spans="1:19" ht="13.95" customHeight="1"/>
    <row r="12" spans="1:19" ht="13.95" customHeight="1"/>
    <row r="13" spans="1:19" ht="13.95" customHeight="1"/>
    <row r="14" spans="1:19" ht="13.95" customHeight="1">
      <c r="C14" s="95"/>
    </row>
    <row r="15" spans="1:19" ht="13.95" customHeight="1">
      <c r="C15" s="95"/>
    </row>
    <row r="16" spans="1:19" ht="13.95" customHeight="1"/>
    <row r="17" spans="3:3" ht="13.95" customHeight="1"/>
    <row r="18" spans="3:3" ht="13.95" customHeight="1"/>
    <row r="19" spans="3:3" ht="13.95" customHeight="1">
      <c r="C19" s="95"/>
    </row>
    <row r="20" spans="3:3" ht="13.95" customHeight="1">
      <c r="C20" s="95"/>
    </row>
    <row r="21" spans="3:3" ht="13.95" customHeight="1">
      <c r="C21" s="95"/>
    </row>
    <row r="22" spans="3:3" ht="13.95" customHeight="1"/>
    <row r="23" spans="3:3" ht="13.95" customHeight="1"/>
    <row r="24" spans="3:3" ht="13.95" customHeight="1"/>
    <row r="25" spans="3:3" ht="13.95" customHeight="1"/>
    <row r="26" spans="3:3" ht="13.95" customHeight="1"/>
    <row r="27" spans="3:3" ht="13.95" customHeight="1"/>
    <row r="28" spans="3:3" ht="13.95" customHeight="1"/>
    <row r="29" spans="3:3" ht="13.95" customHeight="1"/>
    <row r="30" spans="3:3" ht="13.95" customHeight="1"/>
    <row r="31" spans="3:3" ht="13.95" customHeight="1"/>
    <row r="32" spans="3:3" ht="13.95" customHeight="1"/>
    <row r="33" ht="13.95" customHeight="1"/>
    <row r="34" ht="13.95" customHeight="1"/>
    <row r="35" ht="13.95" customHeight="1"/>
    <row r="36" ht="13.95" customHeight="1"/>
    <row r="37" ht="9" customHeight="1"/>
    <row r="38" ht="6.6" customHeight="1"/>
  </sheetData>
  <sheetProtection password="8B16" sheet="1" objects="1" scenarios="1"/>
  <mergeCells count="3">
    <mergeCell ref="B2:P2"/>
    <mergeCell ref="H5:I5"/>
    <mergeCell ref="G4:N4"/>
  </mergeCells>
  <conditionalFormatting sqref="N6">
    <cfRule type="expression" dxfId="28" priority="132" stopIfTrue="1">
      <formula>$S$6=1</formula>
    </cfRule>
  </conditionalFormatting>
  <conditionalFormatting sqref="N5">
    <cfRule type="expression" dxfId="27" priority="133" stopIfTrue="1">
      <formula>$S$6=2</formula>
    </cfRule>
  </conditionalFormatting>
  <printOptions horizontalCentered="1" verticalCentered="1"/>
  <pageMargins left="0.25" right="0.25" top="0.75" bottom="0.75" header="0.3" footer="0.3"/>
  <pageSetup scale="79" orientation="landscape" horizontalDpi="1200" verticalDpi="1200" r:id="rId1"/>
  <headerFooter>
    <oddFooter>&amp;CAWWA Free Water Audit Software v5.0&amp;R&amp;A     &amp;P</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339486" r:id="rId4" name="Option Button 94">
              <controlPr defaultSize="0" autoFill="0" autoLine="0" autoPict="0">
                <anchor moveWithCells="1">
                  <from>
                    <xdr:col>12</xdr:col>
                    <xdr:colOff>99060</xdr:colOff>
                    <xdr:row>4</xdr:row>
                    <xdr:rowOff>7620</xdr:rowOff>
                  </from>
                  <to>
                    <xdr:col>12</xdr:col>
                    <xdr:colOff>297180</xdr:colOff>
                    <xdr:row>5</xdr:row>
                    <xdr:rowOff>38100</xdr:rowOff>
                  </to>
                </anchor>
              </controlPr>
            </control>
          </mc:Choice>
        </mc:AlternateContent>
        <mc:AlternateContent xmlns:mc="http://schemas.openxmlformats.org/markup-compatibility/2006">
          <mc:Choice Requires="x14">
            <control shapeId="1339487" r:id="rId5" name="Option Button 95">
              <controlPr defaultSize="0" autoFill="0" autoLine="0" autoPict="0">
                <anchor moveWithCells="1">
                  <from>
                    <xdr:col>12</xdr:col>
                    <xdr:colOff>99060</xdr:colOff>
                    <xdr:row>5</xdr:row>
                    <xdr:rowOff>7620</xdr:rowOff>
                  </from>
                  <to>
                    <xdr:col>12</xdr:col>
                    <xdr:colOff>297180</xdr:colOff>
                    <xdr:row>6</xdr:row>
                    <xdr:rowOff>22860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theme="3" tint="0.79998168889431442"/>
    <pageSetUpPr fitToPage="1"/>
  </sheetPr>
  <dimension ref="A1:U171"/>
  <sheetViews>
    <sheetView showGridLines="0" showRowColHeaders="0" zoomScaleNormal="100" zoomScaleSheetLayoutView="100" workbookViewId="0">
      <pane xSplit="3" ySplit="7" topLeftCell="D43" activePane="bottomRight" state="frozen"/>
      <selection pane="topRight" activeCell="D1" sqref="D1"/>
      <selection pane="bottomLeft" activeCell="A8" sqref="A8"/>
      <selection pane="bottomRight" activeCell="D13" sqref="D12:D13"/>
    </sheetView>
  </sheetViews>
  <sheetFormatPr defaultColWidth="0" defaultRowHeight="0" customHeight="1" zeroHeight="1"/>
  <cols>
    <col min="1" max="2" width="0.6640625" style="412" customWidth="1"/>
    <col min="3" max="3" width="20.44140625" style="64" customWidth="1"/>
    <col min="4" max="4" width="17.44140625" style="64" customWidth="1"/>
    <col min="5" max="5" width="23.6640625" style="64" customWidth="1"/>
    <col min="6" max="6" width="24.109375" style="64" customWidth="1"/>
    <col min="7" max="7" width="13.6640625" style="64" customWidth="1"/>
    <col min="8" max="8" width="24.33203125" style="64" customWidth="1"/>
    <col min="9" max="9" width="14.6640625" style="64" customWidth="1"/>
    <col min="10" max="10" width="25.33203125" style="64" customWidth="1"/>
    <col min="11" max="11" width="13.5546875" style="64" customWidth="1"/>
    <col min="12" max="12" width="25" style="64" customWidth="1"/>
    <col min="13" max="13" width="15.33203125" style="64" customWidth="1"/>
    <col min="14" max="14" width="26" style="64" customWidth="1"/>
    <col min="15" max="15" width="0.88671875" style="64" customWidth="1"/>
    <col min="16" max="16" width="1.109375" style="70" customWidth="1"/>
    <col min="17" max="17" width="5.88671875" style="373" hidden="1" customWidth="1"/>
    <col min="18" max="18" width="34.6640625" style="373" hidden="1" customWidth="1"/>
    <col min="19" max="16384" width="0" style="373" hidden="1"/>
  </cols>
  <sheetData>
    <row r="1" spans="1:21" ht="4.95" customHeight="1" thickBot="1">
      <c r="A1" s="284"/>
      <c r="B1" s="284"/>
      <c r="C1" s="283"/>
      <c r="D1" s="283"/>
      <c r="E1" s="283"/>
      <c r="F1" s="283"/>
      <c r="G1" s="283"/>
      <c r="H1" s="283"/>
      <c r="I1" s="283"/>
      <c r="J1" s="283"/>
      <c r="K1" s="283"/>
      <c r="L1" s="283"/>
      <c r="M1" s="283"/>
      <c r="N1" s="283"/>
      <c r="O1" s="283"/>
      <c r="P1" s="283"/>
    </row>
    <row r="2" spans="1:21" ht="22.95" customHeight="1" thickTop="1">
      <c r="A2" s="284"/>
      <c r="B2" s="460"/>
      <c r="C2" s="764" t="s">
        <v>665</v>
      </c>
      <c r="D2" s="765"/>
      <c r="E2" s="765"/>
      <c r="F2" s="765"/>
      <c r="G2" s="765"/>
      <c r="H2" s="765"/>
      <c r="I2" s="765"/>
      <c r="J2" s="765"/>
      <c r="K2" s="765"/>
      <c r="L2" s="765"/>
      <c r="M2" s="765"/>
      <c r="N2" s="765"/>
      <c r="O2" s="458"/>
      <c r="P2" s="456"/>
      <c r="R2" s="442" t="str">
        <f ca="1">VLOOKUP(1,GradingAssessment!$I$4:$J$23,2,FALSE)&amp;":"</f>
        <v>Water imported:</v>
      </c>
    </row>
    <row r="3" spans="1:21" ht="6" customHeight="1" thickBot="1">
      <c r="A3" s="284"/>
      <c r="B3" s="461"/>
      <c r="C3" s="766"/>
      <c r="D3" s="741"/>
      <c r="E3" s="741"/>
      <c r="F3" s="741"/>
      <c r="G3" s="741"/>
      <c r="H3" s="741"/>
      <c r="I3" s="741"/>
      <c r="J3" s="741"/>
      <c r="K3" s="741"/>
      <c r="L3" s="741"/>
      <c r="M3" s="741"/>
      <c r="N3" s="741"/>
      <c r="O3" s="269"/>
      <c r="P3" s="282"/>
    </row>
    <row r="4" spans="1:21" ht="13.2">
      <c r="A4" s="284"/>
      <c r="B4" s="461"/>
      <c r="C4" s="767" t="s">
        <v>650</v>
      </c>
      <c r="D4" s="767"/>
      <c r="E4" s="767"/>
      <c r="F4" s="767"/>
      <c r="G4" s="767"/>
      <c r="H4" s="767"/>
      <c r="I4" s="767"/>
      <c r="J4" s="767"/>
      <c r="K4" s="767"/>
      <c r="L4" s="767"/>
      <c r="M4" s="767"/>
      <c r="N4" s="767"/>
      <c r="O4" s="269"/>
      <c r="P4" s="282"/>
      <c r="R4" s="443" t="str">
        <f ca="1">VLOOKUP(2,GradingAssessment!$I$4:$J$23,2,FALSE)&amp;":"</f>
        <v>Billed metered:</v>
      </c>
    </row>
    <row r="5" spans="1:21" ht="3.75" customHeight="1" thickBot="1">
      <c r="A5" s="284"/>
      <c r="B5" s="461"/>
      <c r="C5" s="768"/>
      <c r="D5" s="768"/>
      <c r="E5" s="768"/>
      <c r="F5" s="768"/>
      <c r="G5" s="768"/>
      <c r="H5" s="768"/>
      <c r="I5" s="768"/>
      <c r="J5" s="768"/>
      <c r="K5" s="768"/>
      <c r="L5" s="768"/>
      <c r="M5" s="768"/>
      <c r="N5" s="768"/>
      <c r="O5" s="269"/>
      <c r="P5" s="282"/>
    </row>
    <row r="6" spans="1:21" ht="3.6" customHeight="1" thickTop="1" thickBot="1">
      <c r="A6" s="284"/>
      <c r="B6" s="461"/>
      <c r="C6" s="769"/>
      <c r="D6" s="770"/>
      <c r="E6" s="770"/>
      <c r="F6" s="770"/>
      <c r="G6" s="770"/>
      <c r="H6" s="770"/>
      <c r="I6" s="770"/>
      <c r="J6" s="770"/>
      <c r="K6" s="770"/>
      <c r="L6" s="770"/>
      <c r="M6" s="770"/>
      <c r="N6" s="771"/>
      <c r="O6" s="269"/>
      <c r="P6" s="282"/>
      <c r="R6" s="73"/>
    </row>
    <row r="7" spans="1:21" ht="15" customHeight="1" thickBot="1">
      <c r="A7" s="284"/>
      <c r="B7" s="461"/>
      <c r="C7" s="413" t="s">
        <v>647</v>
      </c>
      <c r="D7" s="68" t="s">
        <v>66</v>
      </c>
      <c r="E7" s="69">
        <v>1</v>
      </c>
      <c r="F7" s="69">
        <v>2</v>
      </c>
      <c r="G7" s="69">
        <v>3</v>
      </c>
      <c r="H7" s="69">
        <v>4</v>
      </c>
      <c r="I7" s="69">
        <v>5</v>
      </c>
      <c r="J7" s="69">
        <v>6</v>
      </c>
      <c r="K7" s="69">
        <v>7</v>
      </c>
      <c r="L7" s="69">
        <v>8</v>
      </c>
      <c r="M7" s="69">
        <v>9</v>
      </c>
      <c r="N7" s="69">
        <v>10</v>
      </c>
      <c r="O7" s="269"/>
      <c r="P7" s="282"/>
      <c r="R7" s="444" t="str">
        <f ca="1">VLOOKUP(3,GradingAssessment!$I$4:$J$23,2,FALSE)&amp;":"</f>
        <v>Unauthorized consumption:</v>
      </c>
    </row>
    <row r="8" spans="1:21" ht="18" customHeight="1">
      <c r="A8" s="284"/>
      <c r="B8" s="461"/>
      <c r="C8" s="513"/>
      <c r="D8" s="773" t="s">
        <v>246</v>
      </c>
      <c r="E8" s="773"/>
      <c r="F8" s="773"/>
      <c r="G8" s="773"/>
      <c r="H8" s="773"/>
      <c r="I8" s="773"/>
      <c r="J8" s="773"/>
      <c r="K8" s="773"/>
      <c r="L8" s="773"/>
      <c r="M8" s="773"/>
      <c r="N8" s="774"/>
      <c r="O8" s="269"/>
      <c r="P8" s="282"/>
    </row>
    <row r="9" spans="1:21" s="414" customFormat="1" ht="110.4" customHeight="1">
      <c r="A9" s="455"/>
      <c r="B9" s="462"/>
      <c r="C9" s="426" t="s">
        <v>131</v>
      </c>
      <c r="D9" s="427" t="s">
        <v>224</v>
      </c>
      <c r="E9" s="427" t="s">
        <v>669</v>
      </c>
      <c r="F9" s="428" t="s">
        <v>668</v>
      </c>
      <c r="G9" s="429" t="s">
        <v>171</v>
      </c>
      <c r="H9" s="428" t="s">
        <v>667</v>
      </c>
      <c r="I9" s="429" t="s">
        <v>172</v>
      </c>
      <c r="J9" s="428" t="s">
        <v>461</v>
      </c>
      <c r="K9" s="429" t="s">
        <v>173</v>
      </c>
      <c r="L9" s="428" t="s">
        <v>462</v>
      </c>
      <c r="M9" s="429" t="s">
        <v>174</v>
      </c>
      <c r="N9" s="430" t="s">
        <v>677</v>
      </c>
      <c r="O9" s="270"/>
      <c r="P9" s="457"/>
      <c r="Q9" s="445" t="str">
        <f>'Reporting Worksheet'!E15</f>
        <v>n/a</v>
      </c>
      <c r="R9" s="414">
        <f ca="1">IF(OR(C9=$R$2,C9=$R$4,C9=$R$7),1,0)</f>
        <v>0</v>
      </c>
      <c r="U9" s="447"/>
    </row>
    <row r="10" spans="1:21" s="414" customFormat="1" ht="94.95" customHeight="1" thickBot="1">
      <c r="A10" s="455"/>
      <c r="B10" s="462"/>
      <c r="C10" s="435" t="s">
        <v>225</v>
      </c>
      <c r="D10" s="436"/>
      <c r="E10" s="437" t="s">
        <v>463</v>
      </c>
      <c r="F10" s="762" t="s">
        <v>464</v>
      </c>
      <c r="G10" s="775"/>
      <c r="H10" s="762" t="s">
        <v>465</v>
      </c>
      <c r="I10" s="772"/>
      <c r="J10" s="762" t="s">
        <v>466</v>
      </c>
      <c r="K10" s="763"/>
      <c r="L10" s="762" t="s">
        <v>467</v>
      </c>
      <c r="M10" s="763"/>
      <c r="N10" s="438" t="s">
        <v>468</v>
      </c>
      <c r="O10" s="270"/>
      <c r="P10" s="457"/>
      <c r="Q10" s="445" t="str">
        <f>Q9</f>
        <v>n/a</v>
      </c>
    </row>
    <row r="11" spans="1:21" s="414" customFormat="1" ht="162" customHeight="1">
      <c r="A11" s="455"/>
      <c r="B11" s="462"/>
      <c r="C11" s="426" t="s">
        <v>745</v>
      </c>
      <c r="D11" s="427" t="s">
        <v>469</v>
      </c>
      <c r="E11" s="427" t="s">
        <v>470</v>
      </c>
      <c r="F11" s="428" t="s">
        <v>471</v>
      </c>
      <c r="G11" s="429" t="s">
        <v>171</v>
      </c>
      <c r="H11" s="428" t="s">
        <v>472</v>
      </c>
      <c r="I11" s="429" t="s">
        <v>172</v>
      </c>
      <c r="J11" s="428" t="s">
        <v>681</v>
      </c>
      <c r="K11" s="429" t="s">
        <v>173</v>
      </c>
      <c r="L11" s="428" t="s">
        <v>473</v>
      </c>
      <c r="M11" s="429" t="s">
        <v>174</v>
      </c>
      <c r="N11" s="430" t="s">
        <v>474</v>
      </c>
      <c r="O11" s="270"/>
      <c r="P11" s="457"/>
      <c r="Q11" s="445">
        <f>'Reporting Worksheet'!J15</f>
        <v>7</v>
      </c>
      <c r="R11" s="414">
        <f ca="1">IF(OR(C11=$R$2,C11=$R$4,C11=$R$7),1,0)</f>
        <v>0</v>
      </c>
    </row>
    <row r="12" spans="1:21" s="414" customFormat="1" ht="166.2" customHeight="1" thickBot="1">
      <c r="A12" s="455"/>
      <c r="B12" s="462"/>
      <c r="C12" s="435" t="s">
        <v>746</v>
      </c>
      <c r="D12" s="436"/>
      <c r="E12" s="437" t="s">
        <v>475</v>
      </c>
      <c r="F12" s="762" t="s">
        <v>476</v>
      </c>
      <c r="G12" s="775"/>
      <c r="H12" s="762" t="s">
        <v>477</v>
      </c>
      <c r="I12" s="772"/>
      <c r="J12" s="762" t="s">
        <v>478</v>
      </c>
      <c r="K12" s="763"/>
      <c r="L12" s="762" t="s">
        <v>479</v>
      </c>
      <c r="M12" s="763"/>
      <c r="N12" s="438" t="s">
        <v>682</v>
      </c>
      <c r="O12" s="270"/>
      <c r="P12" s="457"/>
      <c r="Q12" s="445">
        <f>Q11</f>
        <v>7</v>
      </c>
    </row>
    <row r="13" spans="1:21" s="414" customFormat="1" ht="103.95" customHeight="1">
      <c r="A13" s="455"/>
      <c r="B13" s="462"/>
      <c r="C13" s="426" t="s">
        <v>92</v>
      </c>
      <c r="D13" s="427" t="s">
        <v>57</v>
      </c>
      <c r="E13" s="427" t="s">
        <v>58</v>
      </c>
      <c r="F13" s="428" t="s">
        <v>59</v>
      </c>
      <c r="G13" s="429" t="s">
        <v>171</v>
      </c>
      <c r="H13" s="428" t="s">
        <v>480</v>
      </c>
      <c r="I13" s="429" t="s">
        <v>172</v>
      </c>
      <c r="J13" s="428" t="s">
        <v>481</v>
      </c>
      <c r="K13" s="429" t="s">
        <v>173</v>
      </c>
      <c r="L13" s="428" t="s">
        <v>482</v>
      </c>
      <c r="M13" s="429" t="s">
        <v>174</v>
      </c>
      <c r="N13" s="430" t="s">
        <v>483</v>
      </c>
      <c r="O13" s="270"/>
      <c r="P13" s="457"/>
      <c r="Q13" s="445">
        <f>'Reporting Worksheet'!E16</f>
        <v>7</v>
      </c>
      <c r="R13" s="414">
        <f ca="1">IF(OR(C13=$R$2,C13=$R$4,C13=$R$7),1,0)</f>
        <v>1</v>
      </c>
    </row>
    <row r="14" spans="1:21" s="414" customFormat="1" ht="222.6" customHeight="1" thickBot="1">
      <c r="A14" s="455"/>
      <c r="B14" s="462"/>
      <c r="C14" s="435" t="s">
        <v>683</v>
      </c>
      <c r="D14" s="436"/>
      <c r="E14" s="437" t="s">
        <v>484</v>
      </c>
      <c r="F14" s="762" t="s">
        <v>485</v>
      </c>
      <c r="G14" s="775"/>
      <c r="H14" s="762" t="s">
        <v>486</v>
      </c>
      <c r="I14" s="772"/>
      <c r="J14" s="762" t="s">
        <v>487</v>
      </c>
      <c r="K14" s="763"/>
      <c r="L14" s="762" t="s">
        <v>488</v>
      </c>
      <c r="M14" s="763"/>
      <c r="N14" s="438" t="s">
        <v>489</v>
      </c>
      <c r="O14" s="270"/>
      <c r="P14" s="457"/>
      <c r="Q14" s="445">
        <f>Q13</f>
        <v>7</v>
      </c>
    </row>
    <row r="15" spans="1:21" s="414" customFormat="1" ht="182.4" customHeight="1">
      <c r="A15" s="455"/>
      <c r="B15" s="462"/>
      <c r="C15" s="426" t="s">
        <v>751</v>
      </c>
      <c r="D15" s="427" t="s">
        <v>684</v>
      </c>
      <c r="E15" s="427" t="s">
        <v>685</v>
      </c>
      <c r="F15" s="428" t="s">
        <v>491</v>
      </c>
      <c r="G15" s="429" t="s">
        <v>171</v>
      </c>
      <c r="H15" s="428" t="s">
        <v>686</v>
      </c>
      <c r="I15" s="429" t="s">
        <v>172</v>
      </c>
      <c r="J15" s="428" t="s">
        <v>687</v>
      </c>
      <c r="K15" s="429" t="s">
        <v>173</v>
      </c>
      <c r="L15" s="428" t="s">
        <v>758</v>
      </c>
      <c r="M15" s="429" t="s">
        <v>174</v>
      </c>
      <c r="N15" s="430" t="s">
        <v>688</v>
      </c>
      <c r="O15" s="270"/>
      <c r="P15" s="457"/>
      <c r="Q15" s="445">
        <f>'Reporting Worksheet'!J16</f>
        <v>7</v>
      </c>
      <c r="R15" s="414">
        <f ca="1">IF(OR(C15=$R$2,C15=$R$4,C15=$R$7),1,0)</f>
        <v>0</v>
      </c>
    </row>
    <row r="16" spans="1:21" s="414" customFormat="1" ht="175.95" customHeight="1" thickBot="1">
      <c r="A16" s="455"/>
      <c r="B16" s="462"/>
      <c r="C16" s="435" t="s">
        <v>753</v>
      </c>
      <c r="D16" s="436"/>
      <c r="E16" s="437" t="s">
        <v>689</v>
      </c>
      <c r="F16" s="762" t="s">
        <v>690</v>
      </c>
      <c r="G16" s="775"/>
      <c r="H16" s="762" t="s">
        <v>492</v>
      </c>
      <c r="I16" s="772"/>
      <c r="J16" s="762" t="s">
        <v>493</v>
      </c>
      <c r="K16" s="763"/>
      <c r="L16" s="762" t="s">
        <v>691</v>
      </c>
      <c r="M16" s="763"/>
      <c r="N16" s="438" t="s">
        <v>692</v>
      </c>
      <c r="O16" s="270"/>
      <c r="P16" s="457"/>
      <c r="Q16" s="445">
        <f>Q15</f>
        <v>7</v>
      </c>
    </row>
    <row r="17" spans="1:19" s="414" customFormat="1" ht="96" customHeight="1">
      <c r="A17" s="455"/>
      <c r="B17" s="462"/>
      <c r="C17" s="426" t="s">
        <v>93</v>
      </c>
      <c r="D17" s="427" t="s">
        <v>60</v>
      </c>
      <c r="E17" s="427" t="s">
        <v>61</v>
      </c>
      <c r="F17" s="428" t="s">
        <v>223</v>
      </c>
      <c r="G17" s="429" t="s">
        <v>171</v>
      </c>
      <c r="H17" s="428" t="s">
        <v>494</v>
      </c>
      <c r="I17" s="429" t="s">
        <v>172</v>
      </c>
      <c r="J17" s="428" t="s">
        <v>272</v>
      </c>
      <c r="K17" s="429" t="s">
        <v>173</v>
      </c>
      <c r="L17" s="428" t="s">
        <v>495</v>
      </c>
      <c r="M17" s="429" t="s">
        <v>174</v>
      </c>
      <c r="N17" s="430" t="s">
        <v>496</v>
      </c>
      <c r="O17" s="270"/>
      <c r="P17" s="457"/>
      <c r="Q17" s="445" t="str">
        <f>'Reporting Worksheet'!E17</f>
        <v>n/a</v>
      </c>
      <c r="R17" s="414">
        <f ca="1">IF(OR(C17=$R$2,C17=$R$4,C17=$R$7),1,0)</f>
        <v>0</v>
      </c>
    </row>
    <row r="18" spans="1:19" s="414" customFormat="1" ht="233.4" customHeight="1" thickBot="1">
      <c r="A18" s="455"/>
      <c r="B18" s="462"/>
      <c r="C18" s="435" t="s">
        <v>693</v>
      </c>
      <c r="D18" s="436"/>
      <c r="E18" s="437" t="s">
        <v>497</v>
      </c>
      <c r="F18" s="762" t="s">
        <v>498</v>
      </c>
      <c r="G18" s="775"/>
      <c r="H18" s="762" t="s">
        <v>499</v>
      </c>
      <c r="I18" s="772"/>
      <c r="J18" s="762" t="s">
        <v>500</v>
      </c>
      <c r="K18" s="763"/>
      <c r="L18" s="762" t="s">
        <v>694</v>
      </c>
      <c r="M18" s="763"/>
      <c r="N18" s="438" t="s">
        <v>468</v>
      </c>
      <c r="O18" s="270"/>
      <c r="P18" s="457"/>
      <c r="Q18" s="445" t="str">
        <f>Q17</f>
        <v>n/a</v>
      </c>
    </row>
    <row r="19" spans="1:19" s="414" customFormat="1" ht="189" customHeight="1">
      <c r="A19" s="455"/>
      <c r="B19" s="462"/>
      <c r="C19" s="426" t="s">
        <v>752</v>
      </c>
      <c r="D19" s="427" t="s">
        <v>502</v>
      </c>
      <c r="E19" s="427" t="s">
        <v>503</v>
      </c>
      <c r="F19" s="428" t="s">
        <v>504</v>
      </c>
      <c r="G19" s="429" t="s">
        <v>171</v>
      </c>
      <c r="H19" s="428" t="s">
        <v>505</v>
      </c>
      <c r="I19" s="429" t="s">
        <v>172</v>
      </c>
      <c r="J19" s="428" t="s">
        <v>506</v>
      </c>
      <c r="K19" s="429" t="s">
        <v>173</v>
      </c>
      <c r="L19" s="428" t="s">
        <v>695</v>
      </c>
      <c r="M19" s="429" t="s">
        <v>174</v>
      </c>
      <c r="N19" s="430" t="s">
        <v>696</v>
      </c>
      <c r="O19" s="270"/>
      <c r="P19" s="457"/>
      <c r="Q19" s="445">
        <f>'Reporting Worksheet'!J17</f>
        <v>0</v>
      </c>
      <c r="R19" s="414">
        <f ca="1">IF(OR(C19=$R$2,C19=$R$4,C19=$R$7),1,0)</f>
        <v>0</v>
      </c>
    </row>
    <row r="20" spans="1:19" s="414" customFormat="1" ht="184.95" customHeight="1" thickBot="1">
      <c r="A20" s="455"/>
      <c r="B20" s="462"/>
      <c r="C20" s="435" t="s">
        <v>750</v>
      </c>
      <c r="D20" s="436"/>
      <c r="E20" s="437" t="s">
        <v>507</v>
      </c>
      <c r="F20" s="762" t="s">
        <v>508</v>
      </c>
      <c r="G20" s="775"/>
      <c r="H20" s="762" t="s">
        <v>509</v>
      </c>
      <c r="I20" s="772"/>
      <c r="J20" s="762" t="s">
        <v>510</v>
      </c>
      <c r="K20" s="763"/>
      <c r="L20" s="762" t="s">
        <v>511</v>
      </c>
      <c r="M20" s="763"/>
      <c r="N20" s="438" t="s">
        <v>512</v>
      </c>
      <c r="O20" s="270"/>
      <c r="P20" s="457"/>
      <c r="Q20" s="445">
        <f>Q19</f>
        <v>0</v>
      </c>
    </row>
    <row r="21" spans="1:19" s="414" customFormat="1" ht="22.5" customHeight="1">
      <c r="A21" s="455"/>
      <c r="B21" s="462"/>
      <c r="C21" s="776" t="s">
        <v>247</v>
      </c>
      <c r="D21" s="773"/>
      <c r="E21" s="773"/>
      <c r="F21" s="773"/>
      <c r="G21" s="773"/>
      <c r="H21" s="773"/>
      <c r="I21" s="773"/>
      <c r="J21" s="773"/>
      <c r="K21" s="773"/>
      <c r="L21" s="773"/>
      <c r="M21" s="773"/>
      <c r="N21" s="774"/>
      <c r="O21" s="270"/>
      <c r="P21" s="457"/>
    </row>
    <row r="22" spans="1:19" s="414" customFormat="1" ht="231" customHeight="1">
      <c r="A22" s="455"/>
      <c r="B22" s="462"/>
      <c r="C22" s="426" t="s">
        <v>132</v>
      </c>
      <c r="D22" s="427" t="s">
        <v>260</v>
      </c>
      <c r="E22" s="427" t="s">
        <v>513</v>
      </c>
      <c r="F22" s="428" t="s">
        <v>514</v>
      </c>
      <c r="G22" s="429" t="s">
        <v>171</v>
      </c>
      <c r="H22" s="428" t="s">
        <v>515</v>
      </c>
      <c r="I22" s="429" t="s">
        <v>172</v>
      </c>
      <c r="J22" s="428" t="s">
        <v>516</v>
      </c>
      <c r="K22" s="429" t="s">
        <v>173</v>
      </c>
      <c r="L22" s="428" t="s">
        <v>742</v>
      </c>
      <c r="M22" s="429" t="s">
        <v>174</v>
      </c>
      <c r="N22" s="430" t="s">
        <v>676</v>
      </c>
      <c r="O22" s="270"/>
      <c r="P22" s="457"/>
      <c r="Q22" s="445">
        <f>'Reporting Worksheet'!E23</f>
        <v>7</v>
      </c>
      <c r="R22" s="414">
        <f ca="1">IF(OR(C22=$R$2,C22=$R$4,C22=$R$7),1,0)</f>
        <v>1</v>
      </c>
    </row>
    <row r="23" spans="1:19" s="414" customFormat="1" ht="217.2" customHeight="1" thickBot="1">
      <c r="A23" s="455"/>
      <c r="B23" s="462"/>
      <c r="C23" s="435" t="s">
        <v>261</v>
      </c>
      <c r="D23" s="439" t="s">
        <v>262</v>
      </c>
      <c r="E23" s="437" t="s">
        <v>517</v>
      </c>
      <c r="F23" s="762" t="s">
        <v>518</v>
      </c>
      <c r="G23" s="775"/>
      <c r="H23" s="762" t="s">
        <v>519</v>
      </c>
      <c r="I23" s="772"/>
      <c r="J23" s="762" t="s">
        <v>520</v>
      </c>
      <c r="K23" s="763"/>
      <c r="L23" s="762" t="s">
        <v>521</v>
      </c>
      <c r="M23" s="763"/>
      <c r="N23" s="438" t="s">
        <v>522</v>
      </c>
      <c r="O23" s="270"/>
      <c r="P23" s="457"/>
      <c r="Q23" s="445">
        <f>Q22</f>
        <v>7</v>
      </c>
    </row>
    <row r="24" spans="1:19" s="414" customFormat="1" ht="214.95" customHeight="1">
      <c r="A24" s="455"/>
      <c r="B24" s="462"/>
      <c r="C24" s="426" t="s">
        <v>133</v>
      </c>
      <c r="D24" s="427" t="s">
        <v>523</v>
      </c>
      <c r="E24" s="427" t="s">
        <v>524</v>
      </c>
      <c r="F24" s="428" t="s">
        <v>525</v>
      </c>
      <c r="G24" s="429" t="s">
        <v>171</v>
      </c>
      <c r="H24" s="428" t="s">
        <v>697</v>
      </c>
      <c r="I24" s="429" t="s">
        <v>172</v>
      </c>
      <c r="J24" s="428" t="s">
        <v>526</v>
      </c>
      <c r="K24" s="429" t="s">
        <v>173</v>
      </c>
      <c r="L24" s="428" t="s">
        <v>527</v>
      </c>
      <c r="M24" s="429" t="s">
        <v>174</v>
      </c>
      <c r="N24" s="430" t="s">
        <v>528</v>
      </c>
      <c r="O24" s="270"/>
      <c r="P24" s="457"/>
      <c r="Q24" s="445">
        <f>'Reporting Worksheet'!E24</f>
        <v>7</v>
      </c>
      <c r="R24" s="414">
        <f ca="1">IF(OR(C24=$R$2,C24=$R$4,C24=$R$7),1,0)</f>
        <v>0</v>
      </c>
      <c r="S24" s="446"/>
    </row>
    <row r="25" spans="1:19" s="414" customFormat="1" ht="170.4" customHeight="1" thickBot="1">
      <c r="A25" s="455"/>
      <c r="B25" s="462"/>
      <c r="C25" s="435" t="s">
        <v>263</v>
      </c>
      <c r="D25" s="436"/>
      <c r="E25" s="437" t="s">
        <v>529</v>
      </c>
      <c r="F25" s="762" t="s">
        <v>530</v>
      </c>
      <c r="G25" s="763"/>
      <c r="H25" s="762" t="s">
        <v>531</v>
      </c>
      <c r="I25" s="763"/>
      <c r="J25" s="762" t="s">
        <v>532</v>
      </c>
      <c r="K25" s="763"/>
      <c r="L25" s="762" t="s">
        <v>533</v>
      </c>
      <c r="M25" s="763"/>
      <c r="N25" s="438" t="s">
        <v>534</v>
      </c>
      <c r="O25" s="270"/>
      <c r="P25" s="457"/>
      <c r="Q25" s="445">
        <f>Q24</f>
        <v>7</v>
      </c>
    </row>
    <row r="26" spans="1:19" s="414" customFormat="1" ht="201.6" customHeight="1">
      <c r="A26" s="455"/>
      <c r="B26" s="462"/>
      <c r="C26" s="426" t="s">
        <v>134</v>
      </c>
      <c r="D26" s="427" t="s">
        <v>124</v>
      </c>
      <c r="E26" s="427" t="s">
        <v>179</v>
      </c>
      <c r="F26" s="428" t="s">
        <v>180</v>
      </c>
      <c r="G26" s="429" t="s">
        <v>171</v>
      </c>
      <c r="H26" s="428" t="s">
        <v>32</v>
      </c>
      <c r="I26" s="429" t="s">
        <v>172</v>
      </c>
      <c r="J26" s="428" t="s">
        <v>221</v>
      </c>
      <c r="K26" s="429" t="s">
        <v>173</v>
      </c>
      <c r="L26" s="428" t="s">
        <v>222</v>
      </c>
      <c r="M26" s="429" t="s">
        <v>174</v>
      </c>
      <c r="N26" s="430" t="s">
        <v>158</v>
      </c>
      <c r="O26" s="270"/>
      <c r="P26" s="457"/>
      <c r="Q26" s="445">
        <f>'Reporting Worksheet'!E25</f>
        <v>7</v>
      </c>
      <c r="R26" s="414">
        <f ca="1">IF(OR(C26=$R$2,C26=$R$4,C26=$R$7),1,0)</f>
        <v>0</v>
      </c>
    </row>
    <row r="27" spans="1:19" s="414" customFormat="1" ht="144.6" customHeight="1" thickBot="1">
      <c r="A27" s="455"/>
      <c r="B27" s="462"/>
      <c r="C27" s="435" t="s">
        <v>698</v>
      </c>
      <c r="D27" s="436"/>
      <c r="E27" s="437" t="s">
        <v>535</v>
      </c>
      <c r="F27" s="762" t="s">
        <v>536</v>
      </c>
      <c r="G27" s="763"/>
      <c r="H27" s="762" t="s">
        <v>537</v>
      </c>
      <c r="I27" s="763"/>
      <c r="J27" s="762" t="s">
        <v>538</v>
      </c>
      <c r="K27" s="763"/>
      <c r="L27" s="762" t="s">
        <v>539</v>
      </c>
      <c r="M27" s="763"/>
      <c r="N27" s="438" t="s">
        <v>540</v>
      </c>
      <c r="O27" s="270"/>
      <c r="P27" s="457"/>
      <c r="Q27" s="445">
        <f>Q26</f>
        <v>7</v>
      </c>
    </row>
    <row r="28" spans="1:19" s="414" customFormat="1" ht="162.6" customHeight="1">
      <c r="A28" s="455"/>
      <c r="B28" s="462"/>
      <c r="C28" s="426" t="s">
        <v>135</v>
      </c>
      <c r="D28" s="431"/>
      <c r="E28" s="427" t="s">
        <v>259</v>
      </c>
      <c r="F28" s="428" t="s">
        <v>264</v>
      </c>
      <c r="G28" s="429" t="s">
        <v>171</v>
      </c>
      <c r="H28" s="428" t="s">
        <v>541</v>
      </c>
      <c r="I28" s="429" t="s">
        <v>125</v>
      </c>
      <c r="J28" s="428" t="s">
        <v>94</v>
      </c>
      <c r="K28" s="429" t="s">
        <v>173</v>
      </c>
      <c r="L28" s="428" t="s">
        <v>542</v>
      </c>
      <c r="M28" s="429" t="s">
        <v>174</v>
      </c>
      <c r="N28" s="430" t="s">
        <v>543</v>
      </c>
      <c r="O28" s="270"/>
      <c r="P28" s="457"/>
      <c r="Q28" s="445">
        <f>'Reporting Worksheet'!E26</f>
        <v>0</v>
      </c>
      <c r="R28" s="414">
        <f ca="1">IF(OR(C28=$R$2,C28=$R$4,C28=$R$7),1,0)</f>
        <v>0</v>
      </c>
    </row>
    <row r="29" spans="1:19" s="414" customFormat="1" ht="196.95" customHeight="1" thickBot="1">
      <c r="A29" s="455"/>
      <c r="B29" s="462"/>
      <c r="C29" s="435" t="s">
        <v>0</v>
      </c>
      <c r="D29" s="436"/>
      <c r="E29" s="437" t="s">
        <v>544</v>
      </c>
      <c r="F29" s="762" t="s">
        <v>545</v>
      </c>
      <c r="G29" s="763"/>
      <c r="H29" s="437" t="s">
        <v>546</v>
      </c>
      <c r="I29" s="437" t="s">
        <v>547</v>
      </c>
      <c r="J29" s="762" t="s">
        <v>548</v>
      </c>
      <c r="K29" s="763"/>
      <c r="L29" s="762" t="s">
        <v>549</v>
      </c>
      <c r="M29" s="763"/>
      <c r="N29" s="438" t="s">
        <v>550</v>
      </c>
      <c r="O29" s="270"/>
      <c r="P29" s="457"/>
      <c r="Q29" s="445">
        <f>Q28</f>
        <v>0</v>
      </c>
    </row>
    <row r="30" spans="1:19" s="414" customFormat="1" ht="22.5" customHeight="1">
      <c r="A30" s="455"/>
      <c r="B30" s="462"/>
      <c r="C30" s="776" t="s">
        <v>236</v>
      </c>
      <c r="D30" s="773"/>
      <c r="E30" s="773"/>
      <c r="F30" s="773"/>
      <c r="G30" s="773"/>
      <c r="H30" s="773"/>
      <c r="I30" s="773"/>
      <c r="J30" s="773"/>
      <c r="K30" s="773"/>
      <c r="L30" s="773"/>
      <c r="M30" s="773"/>
      <c r="N30" s="774"/>
      <c r="O30" s="270"/>
      <c r="P30" s="457"/>
    </row>
    <row r="31" spans="1:19" s="414" customFormat="1" ht="141.6" customHeight="1">
      <c r="A31" s="455"/>
      <c r="B31" s="462"/>
      <c r="C31" s="426" t="s">
        <v>136</v>
      </c>
      <c r="D31" s="432"/>
      <c r="E31" s="427" t="s">
        <v>24</v>
      </c>
      <c r="F31" s="428" t="s">
        <v>50</v>
      </c>
      <c r="G31" s="429" t="s">
        <v>51</v>
      </c>
      <c r="H31" s="428" t="s">
        <v>551</v>
      </c>
      <c r="I31" s="429" t="s">
        <v>552</v>
      </c>
      <c r="J31" s="428" t="s">
        <v>553</v>
      </c>
      <c r="K31" s="429" t="s">
        <v>173</v>
      </c>
      <c r="L31" s="428" t="s">
        <v>554</v>
      </c>
      <c r="M31" s="429" t="s">
        <v>174</v>
      </c>
      <c r="N31" s="430" t="s">
        <v>699</v>
      </c>
      <c r="O31" s="270"/>
      <c r="P31" s="457"/>
      <c r="Q31" s="445">
        <f>'Reporting Worksheet'!E38</f>
        <v>0</v>
      </c>
      <c r="R31" s="414">
        <f ca="1">IF(OR(C31=$R$2,C31=$R$4,C31=$R$7),1,0)</f>
        <v>1</v>
      </c>
    </row>
    <row r="32" spans="1:19" s="414" customFormat="1" ht="238.2" customHeight="1" thickBot="1">
      <c r="A32" s="455"/>
      <c r="B32" s="462"/>
      <c r="C32" s="435" t="s">
        <v>1</v>
      </c>
      <c r="D32" s="440"/>
      <c r="E32" s="437" t="s">
        <v>555</v>
      </c>
      <c r="F32" s="762" t="s">
        <v>556</v>
      </c>
      <c r="G32" s="763"/>
      <c r="H32" s="437" t="s">
        <v>557</v>
      </c>
      <c r="I32" s="437" t="s">
        <v>558</v>
      </c>
      <c r="J32" s="762" t="s">
        <v>559</v>
      </c>
      <c r="K32" s="763"/>
      <c r="L32" s="762" t="s">
        <v>560</v>
      </c>
      <c r="M32" s="763"/>
      <c r="N32" s="438" t="s">
        <v>561</v>
      </c>
      <c r="O32" s="270"/>
      <c r="P32" s="457"/>
      <c r="Q32" s="445">
        <f>Q31</f>
        <v>0</v>
      </c>
    </row>
    <row r="33" spans="1:18" s="414" customFormat="1" ht="234.6" customHeight="1">
      <c r="A33" s="455"/>
      <c r="B33" s="462"/>
      <c r="C33" s="426" t="s">
        <v>137</v>
      </c>
      <c r="D33" s="427" t="s">
        <v>64</v>
      </c>
      <c r="E33" s="427" t="s">
        <v>562</v>
      </c>
      <c r="F33" s="428" t="s">
        <v>563</v>
      </c>
      <c r="G33" s="429" t="s">
        <v>171</v>
      </c>
      <c r="H33" s="428" t="s">
        <v>564</v>
      </c>
      <c r="I33" s="429" t="s">
        <v>172</v>
      </c>
      <c r="J33" s="428" t="s">
        <v>565</v>
      </c>
      <c r="K33" s="429" t="s">
        <v>173</v>
      </c>
      <c r="L33" s="428" t="s">
        <v>566</v>
      </c>
      <c r="M33" s="429" t="s">
        <v>567</v>
      </c>
      <c r="N33" s="430" t="s">
        <v>678</v>
      </c>
      <c r="O33" s="270"/>
      <c r="P33" s="457"/>
      <c r="Q33" s="445">
        <f>'Reporting Worksheet'!E42</f>
        <v>7</v>
      </c>
      <c r="R33" s="414">
        <f ca="1">IF(OR(C33=$R$2,C33=$R$4,C33=$R$7),1,0)</f>
        <v>0</v>
      </c>
    </row>
    <row r="34" spans="1:18" s="414" customFormat="1" ht="186.6" customHeight="1" thickBot="1">
      <c r="A34" s="455"/>
      <c r="B34" s="462"/>
      <c r="C34" s="435" t="s">
        <v>160</v>
      </c>
      <c r="D34" s="439" t="s">
        <v>262</v>
      </c>
      <c r="E34" s="437" t="s">
        <v>568</v>
      </c>
      <c r="F34" s="762" t="s">
        <v>569</v>
      </c>
      <c r="G34" s="763"/>
      <c r="H34" s="762" t="s">
        <v>570</v>
      </c>
      <c r="I34" s="763"/>
      <c r="J34" s="762" t="s">
        <v>571</v>
      </c>
      <c r="K34" s="763"/>
      <c r="L34" s="441" t="s">
        <v>572</v>
      </c>
      <c r="M34" s="441" t="s">
        <v>573</v>
      </c>
      <c r="N34" s="438" t="s">
        <v>574</v>
      </c>
      <c r="O34" s="270"/>
      <c r="P34" s="457"/>
      <c r="Q34" s="445">
        <f>Q33</f>
        <v>7</v>
      </c>
    </row>
    <row r="35" spans="1:18" s="414" customFormat="1" ht="192.6" customHeight="1">
      <c r="A35" s="455"/>
      <c r="B35" s="462"/>
      <c r="C35" s="426" t="s">
        <v>649</v>
      </c>
      <c r="D35" s="427" t="s">
        <v>65</v>
      </c>
      <c r="E35" s="427" t="s">
        <v>575</v>
      </c>
      <c r="F35" s="428" t="s">
        <v>576</v>
      </c>
      <c r="G35" s="429" t="s">
        <v>171</v>
      </c>
      <c r="H35" s="428" t="s">
        <v>577</v>
      </c>
      <c r="I35" s="429" t="s">
        <v>172</v>
      </c>
      <c r="J35" s="428" t="s">
        <v>578</v>
      </c>
      <c r="K35" s="429" t="s">
        <v>173</v>
      </c>
      <c r="L35" s="428" t="s">
        <v>579</v>
      </c>
      <c r="M35" s="429" t="s">
        <v>174</v>
      </c>
      <c r="N35" s="430" t="s">
        <v>580</v>
      </c>
      <c r="O35" s="270"/>
      <c r="P35" s="457"/>
      <c r="Q35" s="445">
        <f>'Reporting Worksheet'!E43</f>
        <v>0</v>
      </c>
      <c r="R35" s="414">
        <f ca="1">IF(OR(C35=$R$2,C35=$R$4,C35=$R$7),1,0)</f>
        <v>0</v>
      </c>
    </row>
    <row r="36" spans="1:18" s="414" customFormat="1" ht="139.94999999999999" customHeight="1" thickBot="1">
      <c r="A36" s="455"/>
      <c r="B36" s="462"/>
      <c r="C36" s="435" t="s">
        <v>161</v>
      </c>
      <c r="D36" s="436"/>
      <c r="E36" s="437" t="s">
        <v>581</v>
      </c>
      <c r="F36" s="762" t="s">
        <v>582</v>
      </c>
      <c r="G36" s="763"/>
      <c r="H36" s="762" t="s">
        <v>583</v>
      </c>
      <c r="I36" s="763"/>
      <c r="J36" s="762" t="s">
        <v>584</v>
      </c>
      <c r="K36" s="763"/>
      <c r="L36" s="762" t="s">
        <v>585</v>
      </c>
      <c r="M36" s="763"/>
      <c r="N36" s="438" t="s">
        <v>586</v>
      </c>
      <c r="O36" s="270"/>
      <c r="P36" s="457"/>
      <c r="Q36" s="445">
        <f>Q35</f>
        <v>0</v>
      </c>
    </row>
    <row r="37" spans="1:18" s="414" customFormat="1" ht="18" customHeight="1">
      <c r="A37" s="455"/>
      <c r="B37" s="462"/>
      <c r="C37" s="776" t="s">
        <v>167</v>
      </c>
      <c r="D37" s="773"/>
      <c r="E37" s="773"/>
      <c r="F37" s="773"/>
      <c r="G37" s="773"/>
      <c r="H37" s="773"/>
      <c r="I37" s="773"/>
      <c r="J37" s="773"/>
      <c r="K37" s="773"/>
      <c r="L37" s="773"/>
      <c r="M37" s="773"/>
      <c r="N37" s="774"/>
      <c r="O37" s="270"/>
      <c r="P37" s="457"/>
    </row>
    <row r="38" spans="1:18" s="414" customFormat="1" ht="115.95" customHeight="1">
      <c r="A38" s="455"/>
      <c r="B38" s="462"/>
      <c r="C38" s="426" t="s">
        <v>138</v>
      </c>
      <c r="D38" s="431"/>
      <c r="E38" s="427" t="s">
        <v>95</v>
      </c>
      <c r="F38" s="428" t="s">
        <v>587</v>
      </c>
      <c r="G38" s="429" t="s">
        <v>171</v>
      </c>
      <c r="H38" s="428" t="s">
        <v>588</v>
      </c>
      <c r="I38" s="429" t="s">
        <v>172</v>
      </c>
      <c r="J38" s="428" t="s">
        <v>589</v>
      </c>
      <c r="K38" s="429" t="s">
        <v>173</v>
      </c>
      <c r="L38" s="428" t="s">
        <v>590</v>
      </c>
      <c r="M38" s="429" t="s">
        <v>174</v>
      </c>
      <c r="N38" s="430" t="s">
        <v>591</v>
      </c>
      <c r="O38" s="270"/>
      <c r="P38" s="457"/>
      <c r="Q38" s="445">
        <f>'Reporting Worksheet'!E62</f>
        <v>7</v>
      </c>
      <c r="R38" s="414">
        <f ca="1">IF(OR(C38=$R$2,C38=$R$4,C38=$R$7),1,0)</f>
        <v>0</v>
      </c>
    </row>
    <row r="39" spans="1:18" s="414" customFormat="1" ht="175.2" customHeight="1" thickBot="1">
      <c r="A39" s="455"/>
      <c r="B39" s="462"/>
      <c r="C39" s="435" t="s">
        <v>162</v>
      </c>
      <c r="D39" s="436"/>
      <c r="E39" s="437" t="s">
        <v>592</v>
      </c>
      <c r="F39" s="762" t="s">
        <v>593</v>
      </c>
      <c r="G39" s="763"/>
      <c r="H39" s="784" t="s">
        <v>644</v>
      </c>
      <c r="I39" s="785"/>
      <c r="J39" s="762" t="s">
        <v>594</v>
      </c>
      <c r="K39" s="763"/>
      <c r="L39" s="762" t="s">
        <v>595</v>
      </c>
      <c r="M39" s="763"/>
      <c r="N39" s="438" t="s">
        <v>596</v>
      </c>
      <c r="O39" s="270"/>
      <c r="P39" s="457"/>
      <c r="Q39" s="445">
        <f>Q38</f>
        <v>7</v>
      </c>
    </row>
    <row r="40" spans="1:18" s="414" customFormat="1" ht="153" customHeight="1">
      <c r="A40" s="455"/>
      <c r="B40" s="462"/>
      <c r="C40" s="426" t="s">
        <v>128</v>
      </c>
      <c r="D40" s="431"/>
      <c r="E40" s="427" t="s">
        <v>185</v>
      </c>
      <c r="F40" s="428" t="s">
        <v>186</v>
      </c>
      <c r="G40" s="429" t="s">
        <v>171</v>
      </c>
      <c r="H40" s="428" t="s">
        <v>597</v>
      </c>
      <c r="I40" s="429" t="s">
        <v>172</v>
      </c>
      <c r="J40" s="428" t="s">
        <v>700</v>
      </c>
      <c r="K40" s="429" t="s">
        <v>173</v>
      </c>
      <c r="L40" s="428" t="s">
        <v>598</v>
      </c>
      <c r="M40" s="429" t="s">
        <v>174</v>
      </c>
      <c r="N40" s="430" t="s">
        <v>599</v>
      </c>
      <c r="O40" s="270"/>
      <c r="P40" s="457"/>
      <c r="Q40" s="445">
        <f>'Reporting Worksheet'!E63</f>
        <v>7</v>
      </c>
      <c r="R40" s="414">
        <f ca="1">IF(OR(C40=$R$2,C40=$R$4,C40=$R$7),1,0)</f>
        <v>0</v>
      </c>
    </row>
    <row r="41" spans="1:18" s="414" customFormat="1" ht="115.2" customHeight="1" thickBot="1">
      <c r="A41" s="455"/>
      <c r="B41" s="462"/>
      <c r="C41" s="435" t="s">
        <v>701</v>
      </c>
      <c r="D41" s="509" t="s">
        <v>648</v>
      </c>
      <c r="E41" s="437" t="s">
        <v>600</v>
      </c>
      <c r="F41" s="762" t="s">
        <v>601</v>
      </c>
      <c r="G41" s="763"/>
      <c r="H41" s="762" t="s">
        <v>602</v>
      </c>
      <c r="I41" s="763"/>
      <c r="J41" s="762" t="s">
        <v>603</v>
      </c>
      <c r="K41" s="763"/>
      <c r="L41" s="762" t="s">
        <v>604</v>
      </c>
      <c r="M41" s="763"/>
      <c r="N41" s="438" t="s">
        <v>605</v>
      </c>
      <c r="O41" s="270"/>
      <c r="P41" s="457"/>
      <c r="Q41" s="445">
        <f>Q40</f>
        <v>7</v>
      </c>
    </row>
    <row r="42" spans="1:18" s="414" customFormat="1" ht="42.6" customHeight="1">
      <c r="A42" s="455"/>
      <c r="B42" s="462"/>
      <c r="C42" s="788" t="s">
        <v>205</v>
      </c>
      <c r="D42" s="777" t="s">
        <v>702</v>
      </c>
      <c r="E42" s="781" t="s">
        <v>707</v>
      </c>
      <c r="F42" s="782"/>
      <c r="G42" s="782"/>
      <c r="H42" s="782"/>
      <c r="I42" s="782"/>
      <c r="J42" s="782"/>
      <c r="K42" s="782"/>
      <c r="L42" s="782"/>
      <c r="M42" s="783"/>
      <c r="N42" s="786" t="s">
        <v>706</v>
      </c>
      <c r="O42" s="270"/>
      <c r="P42" s="457"/>
      <c r="Q42" s="445">
        <f>Q43</f>
        <v>7</v>
      </c>
      <c r="R42" s="414">
        <f ca="1">IF(OR(C42=$R$2,C42=$R$4,C42=$R$7),1,0)</f>
        <v>0</v>
      </c>
    </row>
    <row r="43" spans="1:18" s="414" customFormat="1" ht="247.95" customHeight="1">
      <c r="A43" s="455"/>
      <c r="B43" s="462"/>
      <c r="C43" s="789"/>
      <c r="D43" s="778"/>
      <c r="E43" s="427" t="s">
        <v>703</v>
      </c>
      <c r="F43" s="428" t="s">
        <v>704</v>
      </c>
      <c r="G43" s="429" t="s">
        <v>171</v>
      </c>
      <c r="H43" s="428" t="s">
        <v>708</v>
      </c>
      <c r="I43" s="429" t="s">
        <v>172</v>
      </c>
      <c r="J43" s="428" t="s">
        <v>606</v>
      </c>
      <c r="K43" s="429" t="s">
        <v>173</v>
      </c>
      <c r="L43" s="428" t="s">
        <v>705</v>
      </c>
      <c r="M43" s="429" t="s">
        <v>174</v>
      </c>
      <c r="N43" s="787"/>
      <c r="O43" s="270"/>
      <c r="P43" s="457"/>
      <c r="Q43" s="445">
        <f>'Reporting Worksheet'!R67</f>
        <v>7</v>
      </c>
      <c r="R43" s="414">
        <f ca="1">IF(OR(C43=$R$2,C43=$R$4,C43=$R$7),1,0)</f>
        <v>0</v>
      </c>
    </row>
    <row r="44" spans="1:18" s="414" customFormat="1" ht="113.25" customHeight="1" thickBot="1">
      <c r="A44" s="455"/>
      <c r="B44" s="462"/>
      <c r="C44" s="435" t="s">
        <v>163</v>
      </c>
      <c r="D44" s="436"/>
      <c r="E44" s="437" t="s">
        <v>709</v>
      </c>
      <c r="F44" s="762" t="s">
        <v>607</v>
      </c>
      <c r="G44" s="763"/>
      <c r="H44" s="762" t="s">
        <v>710</v>
      </c>
      <c r="I44" s="763"/>
      <c r="J44" s="762" t="s">
        <v>608</v>
      </c>
      <c r="K44" s="763"/>
      <c r="L44" s="762" t="s">
        <v>609</v>
      </c>
      <c r="M44" s="763"/>
      <c r="N44" s="438" t="s">
        <v>610</v>
      </c>
      <c r="O44" s="270"/>
      <c r="P44" s="457"/>
      <c r="Q44" s="445">
        <f>Q43</f>
        <v>7</v>
      </c>
    </row>
    <row r="45" spans="1:18" s="414" customFormat="1" ht="208.95" customHeight="1">
      <c r="A45" s="455"/>
      <c r="B45" s="462"/>
      <c r="C45" s="426" t="s">
        <v>139</v>
      </c>
      <c r="D45" s="433"/>
      <c r="E45" s="427" t="s">
        <v>52</v>
      </c>
      <c r="F45" s="428" t="s">
        <v>611</v>
      </c>
      <c r="G45" s="429" t="s">
        <v>171</v>
      </c>
      <c r="H45" s="428" t="s">
        <v>71</v>
      </c>
      <c r="I45" s="429" t="s">
        <v>172</v>
      </c>
      <c r="J45" s="428" t="s">
        <v>612</v>
      </c>
      <c r="K45" s="429" t="s">
        <v>173</v>
      </c>
      <c r="L45" s="428" t="s">
        <v>613</v>
      </c>
      <c r="M45" s="429" t="s">
        <v>174</v>
      </c>
      <c r="N45" s="430" t="s">
        <v>614</v>
      </c>
      <c r="O45" s="270"/>
      <c r="P45" s="457"/>
      <c r="Q45" s="445">
        <f>'Reporting Worksheet'!E69</f>
        <v>7</v>
      </c>
      <c r="R45" s="414">
        <f ca="1">IF(OR(C45=$R$2,C45=$R$4,C45=$R$7),1,0)</f>
        <v>0</v>
      </c>
    </row>
    <row r="46" spans="1:18" s="414" customFormat="1" ht="144.6" customHeight="1" thickBot="1">
      <c r="A46" s="455"/>
      <c r="B46" s="462"/>
      <c r="C46" s="435" t="s">
        <v>238</v>
      </c>
      <c r="D46" s="448"/>
      <c r="E46" s="437" t="s">
        <v>615</v>
      </c>
      <c r="F46" s="779" t="s">
        <v>616</v>
      </c>
      <c r="G46" s="780"/>
      <c r="H46" s="779" t="s">
        <v>617</v>
      </c>
      <c r="I46" s="780"/>
      <c r="J46" s="779" t="s">
        <v>618</v>
      </c>
      <c r="K46" s="780"/>
      <c r="L46" s="779" t="s">
        <v>619</v>
      </c>
      <c r="M46" s="780"/>
      <c r="N46" s="438" t="s">
        <v>620</v>
      </c>
      <c r="O46" s="270"/>
      <c r="P46" s="457"/>
      <c r="Q46" s="445">
        <f>Q45</f>
        <v>7</v>
      </c>
    </row>
    <row r="47" spans="1:18" s="414" customFormat="1" ht="23.25" customHeight="1">
      <c r="A47" s="455"/>
      <c r="B47" s="462"/>
      <c r="C47" s="776" t="s">
        <v>72</v>
      </c>
      <c r="D47" s="773"/>
      <c r="E47" s="773"/>
      <c r="F47" s="773"/>
      <c r="G47" s="773"/>
      <c r="H47" s="773"/>
      <c r="I47" s="773"/>
      <c r="J47" s="773"/>
      <c r="K47" s="773"/>
      <c r="L47" s="773"/>
      <c r="M47" s="773"/>
      <c r="N47" s="774"/>
      <c r="O47" s="270"/>
      <c r="P47" s="457"/>
    </row>
    <row r="48" spans="1:18" s="414" customFormat="1" ht="101.4" customHeight="1">
      <c r="A48" s="455"/>
      <c r="B48" s="462"/>
      <c r="C48" s="426" t="s">
        <v>140</v>
      </c>
      <c r="D48" s="433"/>
      <c r="E48" s="427" t="s">
        <v>621</v>
      </c>
      <c r="F48" s="428" t="s">
        <v>239</v>
      </c>
      <c r="G48" s="429" t="s">
        <v>171</v>
      </c>
      <c r="H48" s="428" t="s">
        <v>622</v>
      </c>
      <c r="I48" s="429" t="s">
        <v>172</v>
      </c>
      <c r="J48" s="428" t="s">
        <v>623</v>
      </c>
      <c r="K48" s="429" t="s">
        <v>173</v>
      </c>
      <c r="L48" s="428" t="s">
        <v>624</v>
      </c>
      <c r="M48" s="429" t="s">
        <v>174</v>
      </c>
      <c r="N48" s="430" t="s">
        <v>625</v>
      </c>
      <c r="O48" s="270"/>
      <c r="P48" s="457"/>
      <c r="Q48" s="445">
        <f>'Reporting Worksheet'!E76</f>
        <v>10</v>
      </c>
      <c r="R48" s="414">
        <f ca="1">IF(OR(C48=$R$2,C48=$R$4,C48=$R$7),1,0)</f>
        <v>0</v>
      </c>
    </row>
    <row r="49" spans="1:18" s="414" customFormat="1" ht="90.6" customHeight="1" thickBot="1">
      <c r="A49" s="455"/>
      <c r="B49" s="462"/>
      <c r="C49" s="435" t="s">
        <v>265</v>
      </c>
      <c r="D49" s="436"/>
      <c r="E49" s="437" t="s">
        <v>626</v>
      </c>
      <c r="F49" s="762" t="s">
        <v>627</v>
      </c>
      <c r="G49" s="763"/>
      <c r="H49" s="762" t="s">
        <v>628</v>
      </c>
      <c r="I49" s="763"/>
      <c r="J49" s="762" t="s">
        <v>629</v>
      </c>
      <c r="K49" s="763"/>
      <c r="L49" s="762" t="s">
        <v>630</v>
      </c>
      <c r="M49" s="763"/>
      <c r="N49" s="438" t="s">
        <v>631</v>
      </c>
      <c r="O49" s="270"/>
      <c r="P49" s="457"/>
      <c r="Q49" s="445">
        <f>Q48</f>
        <v>10</v>
      </c>
    </row>
    <row r="50" spans="1:18" s="414" customFormat="1" ht="151.19999999999999" customHeight="1">
      <c r="A50" s="455"/>
      <c r="B50" s="462"/>
      <c r="C50" s="426" t="s">
        <v>129</v>
      </c>
      <c r="D50" s="583" t="s">
        <v>670</v>
      </c>
      <c r="E50" s="427" t="s">
        <v>711</v>
      </c>
      <c r="F50" s="428" t="s">
        <v>149</v>
      </c>
      <c r="G50" s="429" t="s">
        <v>171</v>
      </c>
      <c r="H50" s="428" t="s">
        <v>150</v>
      </c>
      <c r="I50" s="429" t="s">
        <v>671</v>
      </c>
      <c r="J50" s="428" t="s">
        <v>116</v>
      </c>
      <c r="K50" s="429" t="s">
        <v>173</v>
      </c>
      <c r="L50" s="428" t="s">
        <v>632</v>
      </c>
      <c r="M50" s="429" t="s">
        <v>174</v>
      </c>
      <c r="N50" s="430" t="s">
        <v>672</v>
      </c>
      <c r="O50" s="270"/>
      <c r="P50" s="457"/>
      <c r="Q50" s="445">
        <f>'Reporting Worksheet'!E77</f>
        <v>10</v>
      </c>
      <c r="R50" s="414">
        <f ca="1">IF(OR(C50=$R$2,C50=$R$4,C50=$R$7),1,0)</f>
        <v>0</v>
      </c>
    </row>
    <row r="51" spans="1:18" s="414" customFormat="1" ht="104.4" customHeight="1" thickBot="1">
      <c r="A51" s="455"/>
      <c r="B51" s="462"/>
      <c r="C51" s="435" t="s">
        <v>85</v>
      </c>
      <c r="D51" s="436"/>
      <c r="E51" s="437" t="s">
        <v>633</v>
      </c>
      <c r="F51" s="762" t="s">
        <v>634</v>
      </c>
      <c r="G51" s="763"/>
      <c r="H51" s="437" t="s">
        <v>635</v>
      </c>
      <c r="I51" s="437" t="s">
        <v>636</v>
      </c>
      <c r="J51" s="762" t="s">
        <v>637</v>
      </c>
      <c r="K51" s="763"/>
      <c r="L51" s="762" t="s">
        <v>638</v>
      </c>
      <c r="M51" s="763"/>
      <c r="N51" s="438" t="s">
        <v>639</v>
      </c>
      <c r="O51" s="270"/>
      <c r="P51" s="457"/>
      <c r="Q51" s="445">
        <f>Q50</f>
        <v>10</v>
      </c>
    </row>
    <row r="52" spans="1:18" s="414" customFormat="1" ht="187.2" customHeight="1">
      <c r="A52" s="455"/>
      <c r="B52" s="462"/>
      <c r="C52" s="426" t="s">
        <v>130</v>
      </c>
      <c r="D52" s="434" t="s">
        <v>159</v>
      </c>
      <c r="E52" s="427" t="s">
        <v>123</v>
      </c>
      <c r="F52" s="428" t="s">
        <v>266</v>
      </c>
      <c r="G52" s="429" t="s">
        <v>171</v>
      </c>
      <c r="H52" s="428" t="s">
        <v>673</v>
      </c>
      <c r="I52" s="429" t="s">
        <v>172</v>
      </c>
      <c r="J52" s="428" t="s">
        <v>674</v>
      </c>
      <c r="K52" s="429" t="s">
        <v>173</v>
      </c>
      <c r="L52" s="428" t="s">
        <v>675</v>
      </c>
      <c r="M52" s="429" t="s">
        <v>174</v>
      </c>
      <c r="N52" s="430" t="s">
        <v>761</v>
      </c>
      <c r="O52" s="270"/>
      <c r="P52" s="457"/>
      <c r="Q52" s="445">
        <f>'Reporting Worksheet'!E78</f>
        <v>10</v>
      </c>
      <c r="R52" s="414">
        <f ca="1">IF(OR(C52=$R$2,C52=$R$4,C52=$R$7),1,0)</f>
        <v>0</v>
      </c>
    </row>
    <row r="53" spans="1:18" s="414" customFormat="1" ht="93" customHeight="1" thickBot="1">
      <c r="A53" s="455"/>
      <c r="B53" s="462"/>
      <c r="C53" s="435" t="s">
        <v>178</v>
      </c>
      <c r="D53" s="436"/>
      <c r="E53" s="437" t="s">
        <v>640</v>
      </c>
      <c r="F53" s="762" t="s">
        <v>627</v>
      </c>
      <c r="G53" s="763"/>
      <c r="H53" s="762" t="s">
        <v>641</v>
      </c>
      <c r="I53" s="763"/>
      <c r="J53" s="762" t="s">
        <v>642</v>
      </c>
      <c r="K53" s="763"/>
      <c r="L53" s="762" t="s">
        <v>630</v>
      </c>
      <c r="M53" s="763"/>
      <c r="N53" s="438" t="s">
        <v>643</v>
      </c>
      <c r="O53" s="270"/>
      <c r="P53" s="457"/>
      <c r="Q53" s="445">
        <f>Q52</f>
        <v>10</v>
      </c>
    </row>
    <row r="54" spans="1:18" ht="6" customHeight="1" thickBot="1">
      <c r="A54" s="284"/>
      <c r="B54" s="459"/>
      <c r="C54" s="279"/>
      <c r="D54" s="279"/>
      <c r="E54" s="279"/>
      <c r="F54" s="279"/>
      <c r="G54" s="279"/>
      <c r="H54" s="279"/>
      <c r="I54" s="279"/>
      <c r="J54" s="279"/>
      <c r="K54" s="279"/>
      <c r="L54" s="279"/>
      <c r="M54" s="279"/>
      <c r="N54" s="279"/>
      <c r="O54" s="280"/>
      <c r="P54" s="282"/>
    </row>
    <row r="55" spans="1:18" s="283" customFormat="1" ht="6" customHeight="1" thickTop="1">
      <c r="A55" s="284"/>
      <c r="B55" s="284"/>
    </row>
    <row r="56" spans="1:18" ht="13.2" hidden="1"/>
    <row r="57" spans="1:18" ht="13.2" hidden="1"/>
    <row r="58" spans="1:18" ht="13.2" hidden="1"/>
    <row r="59" spans="1:18" ht="13.2" hidden="1"/>
    <row r="60" spans="1:18" ht="13.2" hidden="1"/>
    <row r="61" spans="1:18" ht="13.2" hidden="1"/>
    <row r="62" spans="1:18" ht="13.2" hidden="1"/>
    <row r="63" spans="1:18" ht="13.2" hidden="1"/>
    <row r="64" spans="1:18" ht="13.2" hidden="1"/>
    <row r="65" ht="13.2" hidden="1"/>
    <row r="66" ht="13.2" hidden="1"/>
    <row r="67" ht="13.2" hidden="1"/>
    <row r="68" ht="13.2" hidden="1"/>
    <row r="69" ht="13.2" hidden="1"/>
    <row r="70" ht="13.2" hidden="1"/>
    <row r="71" ht="13.2" hidden="1"/>
    <row r="72" ht="13.2" hidden="1"/>
    <row r="73" ht="13.2" hidden="1"/>
    <row r="74" ht="13.2" hidden="1"/>
    <row r="75" ht="13.2" hidden="1"/>
    <row r="76" ht="13.2" hidden="1"/>
    <row r="77" ht="13.2" hidden="1"/>
    <row r="78" ht="13.2" hidden="1"/>
    <row r="79" ht="13.2" hidden="1"/>
    <row r="80" ht="13.2" hidden="1"/>
    <row r="81" ht="13.2" hidden="1"/>
    <row r="82" ht="13.2" hidden="1"/>
    <row r="83" ht="13.2" hidden="1"/>
    <row r="84" ht="13.2" hidden="1"/>
    <row r="85" ht="13.2" hidden="1"/>
    <row r="86" ht="13.2" hidden="1"/>
    <row r="87" ht="13.2" hidden="1"/>
    <row r="88" ht="13.2" hidden="1"/>
    <row r="89" ht="13.2" hidden="1"/>
    <row r="90" ht="13.2" hidden="1"/>
    <row r="91" ht="13.2" hidden="1"/>
    <row r="92" ht="13.2" hidden="1"/>
    <row r="93" ht="13.2" hidden="1"/>
    <row r="94" ht="13.2" hidden="1"/>
    <row r="95" ht="13.2" hidden="1"/>
    <row r="96" ht="13.2" hidden="1"/>
    <row r="97" ht="13.2" hidden="1"/>
    <row r="98" ht="13.2" hidden="1"/>
    <row r="99" ht="13.2" hidden="1"/>
    <row r="100" ht="13.2" hidden="1"/>
    <row r="101" ht="13.2" hidden="1"/>
    <row r="102" ht="13.2" hidden="1"/>
    <row r="103" ht="13.2" hidden="1"/>
    <row r="104" ht="13.2" hidden="1"/>
    <row r="105" ht="13.2" hidden="1"/>
    <row r="106" ht="13.2" hidden="1"/>
    <row r="107" ht="13.2" hidden="1"/>
    <row r="108" ht="13.2" hidden="1"/>
    <row r="109" ht="13.2" hidden="1"/>
    <row r="110" ht="13.2" hidden="1"/>
    <row r="111" ht="13.2" hidden="1"/>
    <row r="112" ht="13.2" hidden="1"/>
    <row r="113" ht="13.2" hidden="1"/>
    <row r="114" ht="13.2" hidden="1"/>
    <row r="115" ht="13.2" hidden="1"/>
    <row r="116" ht="13.2" hidden="1"/>
    <row r="117" ht="13.2" hidden="1"/>
    <row r="118" ht="13.2" hidden="1"/>
    <row r="119" ht="13.2" hidden="1"/>
    <row r="120" ht="13.2" hidden="1"/>
    <row r="121" ht="13.2" hidden="1"/>
    <row r="122" ht="13.2" hidden="1"/>
    <row r="123" ht="13.2" hidden="1"/>
    <row r="124" ht="13.2" hidden="1"/>
    <row r="125" ht="13.2" hidden="1"/>
    <row r="126" ht="13.2" hidden="1"/>
    <row r="127" ht="13.2" hidden="1"/>
    <row r="128" ht="13.2" hidden="1"/>
    <row r="129" ht="13.2" hidden="1"/>
    <row r="130" ht="13.2" hidden="1"/>
    <row r="131" ht="13.2" hidden="1"/>
    <row r="132" ht="13.2" hidden="1"/>
    <row r="133" ht="13.2" hidden="1"/>
    <row r="134" ht="13.2" hidden="1"/>
    <row r="135" ht="13.2" hidden="1"/>
    <row r="136" ht="13.2" hidden="1"/>
    <row r="137" ht="13.2" hidden="1"/>
    <row r="138" ht="13.2" hidden="1"/>
    <row r="139" ht="13.2" hidden="1"/>
    <row r="140" ht="13.2" hidden="1"/>
    <row r="141" ht="13.2" hidden="1"/>
    <row r="142" ht="13.2" hidden="1"/>
    <row r="143" ht="13.2" hidden="1"/>
    <row r="144" ht="13.2" hidden="1"/>
    <row r="145" ht="13.2" hidden="1"/>
    <row r="146" ht="13.2" hidden="1"/>
    <row r="147" ht="13.2" hidden="1"/>
    <row r="148" ht="13.2" hidden="1"/>
    <row r="149" ht="13.2" hidden="1"/>
    <row r="150" ht="13.2" hidden="1"/>
    <row r="151" ht="13.2" hidden="1"/>
    <row r="152" ht="13.2" hidden="1"/>
    <row r="153" ht="13.2" hidden="1"/>
    <row r="154" ht="13.2" hidden="1"/>
    <row r="155" ht="13.2" hidden="1"/>
    <row r="156" ht="13.2" hidden="1"/>
    <row r="157" ht="13.2" hidden="1"/>
    <row r="158" ht="13.2" hidden="1"/>
    <row r="159" ht="13.2" hidden="1"/>
    <row r="160" ht="13.2" hidden="1"/>
    <row r="161" ht="13.2" hidden="1"/>
    <row r="162" ht="13.2" hidden="1"/>
    <row r="163" ht="13.2" hidden="1"/>
    <row r="164" ht="13.2" hidden="1"/>
    <row r="165" ht="13.2" hidden="1"/>
    <row r="166" ht="13.2" hidden="1"/>
    <row r="167" ht="13.2" hidden="1"/>
    <row r="168" ht="13.2" hidden="1"/>
    <row r="169" ht="13.2" hidden="1"/>
    <row r="170" ht="13.2" hidden="1"/>
    <row r="171" ht="13.2" hidden="1"/>
  </sheetData>
  <sheetProtection password="8B16" sheet="1" objects="1" scenarios="1"/>
  <mergeCells count="88">
    <mergeCell ref="L36:M36"/>
    <mergeCell ref="F36:G36"/>
    <mergeCell ref="H36:I36"/>
    <mergeCell ref="J36:K36"/>
    <mergeCell ref="E42:M42"/>
    <mergeCell ref="J41:K41"/>
    <mergeCell ref="J39:K39"/>
    <mergeCell ref="L39:M39"/>
    <mergeCell ref="H39:I39"/>
    <mergeCell ref="L41:M41"/>
    <mergeCell ref="F41:G41"/>
    <mergeCell ref="H41:I41"/>
    <mergeCell ref="F39:G39"/>
    <mergeCell ref="C37:N37"/>
    <mergeCell ref="N42:N43"/>
    <mergeCell ref="C42:C43"/>
    <mergeCell ref="L46:M46"/>
    <mergeCell ref="F44:G44"/>
    <mergeCell ref="L44:M44"/>
    <mergeCell ref="H44:I44"/>
    <mergeCell ref="J44:K44"/>
    <mergeCell ref="D42:D43"/>
    <mergeCell ref="H53:I53"/>
    <mergeCell ref="J53:K53"/>
    <mergeCell ref="L53:M53"/>
    <mergeCell ref="F46:G46"/>
    <mergeCell ref="H46:I46"/>
    <mergeCell ref="F53:G53"/>
    <mergeCell ref="F51:G51"/>
    <mergeCell ref="J51:K51"/>
    <mergeCell ref="L51:M51"/>
    <mergeCell ref="F49:G49"/>
    <mergeCell ref="L49:M49"/>
    <mergeCell ref="C47:N47"/>
    <mergeCell ref="H49:I49"/>
    <mergeCell ref="J49:K49"/>
    <mergeCell ref="J46:K46"/>
    <mergeCell ref="L14:M14"/>
    <mergeCell ref="C21:N21"/>
    <mergeCell ref="L12:M12"/>
    <mergeCell ref="F23:G23"/>
    <mergeCell ref="H23:I23"/>
    <mergeCell ref="L23:M23"/>
    <mergeCell ref="L20:M20"/>
    <mergeCell ref="L16:M16"/>
    <mergeCell ref="F18:G18"/>
    <mergeCell ref="H20:I20"/>
    <mergeCell ref="J20:K20"/>
    <mergeCell ref="J14:K14"/>
    <mergeCell ref="J23:K23"/>
    <mergeCell ref="F20:G20"/>
    <mergeCell ref="F16:G16"/>
    <mergeCell ref="H16:I16"/>
    <mergeCell ref="F34:G34"/>
    <mergeCell ref="F27:G27"/>
    <mergeCell ref="H27:I27"/>
    <mergeCell ref="L29:M29"/>
    <mergeCell ref="L27:M27"/>
    <mergeCell ref="J27:K27"/>
    <mergeCell ref="H34:I34"/>
    <mergeCell ref="J34:K34"/>
    <mergeCell ref="J32:K32"/>
    <mergeCell ref="L32:M32"/>
    <mergeCell ref="F29:G29"/>
    <mergeCell ref="C30:N30"/>
    <mergeCell ref="F32:G32"/>
    <mergeCell ref="J29:K29"/>
    <mergeCell ref="H18:I18"/>
    <mergeCell ref="J18:K18"/>
    <mergeCell ref="L18:M18"/>
    <mergeCell ref="J25:K25"/>
    <mergeCell ref="L25:M25"/>
    <mergeCell ref="F25:G25"/>
    <mergeCell ref="H25:I25"/>
    <mergeCell ref="C2:N3"/>
    <mergeCell ref="C4:N5"/>
    <mergeCell ref="C6:N6"/>
    <mergeCell ref="H12:I12"/>
    <mergeCell ref="J12:K12"/>
    <mergeCell ref="L10:M10"/>
    <mergeCell ref="D8:N8"/>
    <mergeCell ref="J16:K16"/>
    <mergeCell ref="F10:G10"/>
    <mergeCell ref="H10:I10"/>
    <mergeCell ref="J10:K10"/>
    <mergeCell ref="F14:G14"/>
    <mergeCell ref="H14:I14"/>
    <mergeCell ref="F12:G12"/>
  </mergeCells>
  <phoneticPr fontId="0" type="noConversion"/>
  <conditionalFormatting sqref="D50 D45 C9 C11 C17 C22 D48 C13 C24 C26 D31:D32">
    <cfRule type="expression" dxfId="26" priority="39" stopIfTrue="1">
      <formula>R9=1</formula>
    </cfRule>
  </conditionalFormatting>
  <conditionalFormatting sqref="F10:M10 F12:M12 F14:M14 F18:M18 F23:M23 L25 J25 F25 H25 L27 J27 F27 H27 F29 L29 J29 F32 L32 J32 L34 J34 F34 H34 L36 J36 F36 H36 L39 J39 F39 H39 L41 J41 F41 H41 L44 J44 F44 H44 L46 J46 F46 H46 L49 J49 F49 H49 F51 L51 J51 L53 J53 F53 H53">
    <cfRule type="expression" dxfId="25" priority="41" stopIfTrue="1">
      <formula>OR(F$7=$Q10,G$7=$Q10)</formula>
    </cfRule>
  </conditionalFormatting>
  <conditionalFormatting sqref="D23">
    <cfRule type="expression" dxfId="24" priority="42" stopIfTrue="1">
      <formula>D$7=$Q23</formula>
    </cfRule>
  </conditionalFormatting>
  <conditionalFormatting sqref="D42:D43">
    <cfRule type="expression" dxfId="23" priority="43" stopIfTrue="1">
      <formula>D$7=$Q43</formula>
    </cfRule>
  </conditionalFormatting>
  <conditionalFormatting sqref="D52">
    <cfRule type="expression" dxfId="22" priority="45" stopIfTrue="1">
      <formula>D$7=$Q52</formula>
    </cfRule>
  </conditionalFormatting>
  <conditionalFormatting sqref="C52 C50 C48 C45 C40 C38 C35 C33 C31 C28">
    <cfRule type="expression" dxfId="21" priority="46" stopIfTrue="1">
      <formula>R28=1</formula>
    </cfRule>
  </conditionalFormatting>
  <conditionalFormatting sqref="C42:C43">
    <cfRule type="expression" dxfId="20" priority="47" stopIfTrue="1">
      <formula>$R$43</formula>
    </cfRule>
  </conditionalFormatting>
  <conditionalFormatting sqref="N16">
    <cfRule type="expression" dxfId="19" priority="33" stopIfTrue="1">
      <formula>N$7=$Q16</formula>
    </cfRule>
  </conditionalFormatting>
  <conditionalFormatting sqref="C15">
    <cfRule type="expression" dxfId="18" priority="34" stopIfTrue="1">
      <formula>R15=1</formula>
    </cfRule>
  </conditionalFormatting>
  <conditionalFormatting sqref="F16:M16">
    <cfRule type="expression" dxfId="17" priority="36" stopIfTrue="1">
      <formula>OR(F$7=$Q16,G$7=$Q16)</formula>
    </cfRule>
  </conditionalFormatting>
  <conditionalFormatting sqref="N20">
    <cfRule type="expression" dxfId="16" priority="29" stopIfTrue="1">
      <formula>N$7=$Q20</formula>
    </cfRule>
  </conditionalFormatting>
  <conditionalFormatting sqref="C19">
    <cfRule type="expression" dxfId="15" priority="30" stopIfTrue="1">
      <formula>R19=1</formula>
    </cfRule>
  </conditionalFormatting>
  <conditionalFormatting sqref="F20:M20">
    <cfRule type="expression" dxfId="14" priority="32" stopIfTrue="1">
      <formula>OR(F$7=$Q20,G$7=$Q20)</formula>
    </cfRule>
  </conditionalFormatting>
  <printOptions horizontalCentered="1" verticalCentered="1"/>
  <pageMargins left="0.25" right="0.25" top="0.75" bottom="0.75" header="0.3" footer="0.3"/>
  <pageSetup scale="54" fitToHeight="0" orientation="landscape" r:id="rId1"/>
  <headerFooter alignWithMargins="0">
    <oddFooter>&amp;CAWWA Free Water Audit Software v5.0&amp;R&amp;A     &amp;P</oddFooter>
  </headerFooter>
  <rowBreaks count="1" manualBreakCount="1">
    <brk id="46" max="15"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theme="3" tint="0.79998168889431442"/>
  </sheetPr>
  <dimension ref="A1:G1004"/>
  <sheetViews>
    <sheetView showGridLines="0" showRowColHeaders="0" zoomScaleNormal="100" workbookViewId="0">
      <pane ySplit="3" topLeftCell="A4" activePane="bottomLeft" state="frozen"/>
      <selection pane="bottomLeft" activeCell="B2" sqref="B2:F3"/>
    </sheetView>
  </sheetViews>
  <sheetFormatPr defaultColWidth="0" defaultRowHeight="13.8" zeroHeight="1"/>
  <cols>
    <col min="1" max="1" width="0.88671875" style="7" customWidth="1"/>
    <col min="2" max="2" width="18.5546875" style="7" customWidth="1"/>
    <col min="3" max="3" width="17.109375" style="7" customWidth="1"/>
    <col min="4" max="4" width="17.44140625" style="7" customWidth="1"/>
    <col min="5" max="5" width="59.6640625" style="7" customWidth="1"/>
    <col min="6" max="6" width="1.5546875" style="7" customWidth="1"/>
    <col min="7" max="7" width="1.109375" style="11" customWidth="1"/>
    <col min="8" max="16384" width="0" style="7" hidden="1"/>
  </cols>
  <sheetData>
    <row r="1" spans="1:7" ht="3.75" customHeight="1" thickBot="1">
      <c r="A1" s="463"/>
      <c r="B1" s="463"/>
      <c r="C1" s="463"/>
      <c r="D1" s="463"/>
      <c r="E1" s="463"/>
      <c r="F1" s="463"/>
      <c r="G1" s="463"/>
    </row>
    <row r="2" spans="1:7" ht="15" customHeight="1" thickTop="1">
      <c r="A2" s="463"/>
      <c r="B2" s="790" t="s">
        <v>337</v>
      </c>
      <c r="C2" s="791"/>
      <c r="D2" s="791"/>
      <c r="E2" s="791"/>
      <c r="F2" s="792"/>
      <c r="G2" s="464"/>
    </row>
    <row r="3" spans="1:7" ht="29.4" customHeight="1" thickBot="1">
      <c r="A3" s="463"/>
      <c r="B3" s="793"/>
      <c r="C3" s="794"/>
      <c r="D3" s="794"/>
      <c r="E3" s="794"/>
      <c r="F3" s="795"/>
      <c r="G3" s="465"/>
    </row>
    <row r="4" spans="1:7" s="9" customFormat="1" ht="36.75" customHeight="1" thickTop="1">
      <c r="A4" s="463"/>
      <c r="B4" s="296"/>
      <c r="C4" s="297"/>
      <c r="D4" s="298"/>
      <c r="E4" s="299" t="str">
        <f>IF(ISBLANK(Instructions!H34),"","All Units in "&amp;Instructions!H34)</f>
        <v/>
      </c>
      <c r="F4" s="300"/>
      <c r="G4" s="465"/>
    </row>
    <row r="5" spans="1:7" s="9" customFormat="1" ht="36.75" customHeight="1">
      <c r="A5" s="463"/>
      <c r="B5" s="296"/>
      <c r="C5" s="297"/>
      <c r="D5" s="298"/>
      <c r="E5" s="299"/>
      <c r="F5" s="300"/>
      <c r="G5" s="465"/>
    </row>
    <row r="6" spans="1:7" s="9" customFormat="1" ht="36.75" customHeight="1">
      <c r="A6" s="463"/>
      <c r="B6" s="296"/>
      <c r="C6" s="297"/>
      <c r="D6" s="298"/>
      <c r="E6" s="299"/>
      <c r="F6" s="300"/>
      <c r="G6" s="465"/>
    </row>
    <row r="7" spans="1:7" s="9" customFormat="1" ht="36.75" customHeight="1">
      <c r="A7" s="463"/>
      <c r="B7" s="296"/>
      <c r="C7" s="297"/>
      <c r="D7" s="298"/>
      <c r="E7" s="299"/>
      <c r="F7" s="300"/>
      <c r="G7" s="465"/>
    </row>
    <row r="8" spans="1:7" s="9" customFormat="1" ht="36.75" customHeight="1">
      <c r="A8" s="463"/>
      <c r="B8" s="296"/>
      <c r="C8" s="297"/>
      <c r="D8" s="298"/>
      <c r="E8" s="299"/>
      <c r="F8" s="300"/>
      <c r="G8" s="465"/>
    </row>
    <row r="9" spans="1:7" s="9" customFormat="1" ht="36.75" customHeight="1">
      <c r="A9" s="463"/>
      <c r="B9" s="296"/>
      <c r="C9" s="297"/>
      <c r="D9" s="298"/>
      <c r="E9" s="299"/>
      <c r="F9" s="300"/>
      <c r="G9" s="465"/>
    </row>
    <row r="10" spans="1:7" s="9" customFormat="1" ht="36.75" customHeight="1">
      <c r="A10" s="463"/>
      <c r="B10" s="296"/>
      <c r="C10" s="297"/>
      <c r="D10" s="298"/>
      <c r="E10" s="299"/>
      <c r="F10" s="300"/>
      <c r="G10" s="465"/>
    </row>
    <row r="11" spans="1:7" s="9" customFormat="1" ht="36.75" customHeight="1">
      <c r="A11" s="463"/>
      <c r="B11" s="296"/>
      <c r="C11" s="297"/>
      <c r="D11" s="298"/>
      <c r="E11" s="299"/>
      <c r="F11" s="300"/>
      <c r="G11" s="465"/>
    </row>
    <row r="12" spans="1:7" s="9" customFormat="1" ht="36.75" customHeight="1">
      <c r="A12" s="463"/>
      <c r="B12" s="296"/>
      <c r="C12" s="297"/>
      <c r="D12" s="298"/>
      <c r="E12" s="299"/>
      <c r="F12" s="300"/>
      <c r="G12" s="465"/>
    </row>
    <row r="13" spans="1:7" s="9" customFormat="1" ht="36.75" customHeight="1">
      <c r="A13" s="463"/>
      <c r="B13" s="296"/>
      <c r="C13" s="297"/>
      <c r="D13" s="298"/>
      <c r="E13" s="299"/>
      <c r="F13" s="300"/>
      <c r="G13" s="465"/>
    </row>
    <row r="14" spans="1:7" s="9" customFormat="1" ht="36.75" customHeight="1">
      <c r="A14" s="463"/>
      <c r="B14" s="296"/>
      <c r="C14" s="297"/>
      <c r="D14" s="298"/>
      <c r="E14" s="299"/>
      <c r="F14" s="300"/>
      <c r="G14" s="465"/>
    </row>
    <row r="15" spans="1:7" s="9" customFormat="1" ht="36.75" customHeight="1">
      <c r="A15" s="463"/>
      <c r="B15" s="296"/>
      <c r="C15" s="297"/>
      <c r="D15" s="298"/>
      <c r="E15" s="299"/>
      <c r="F15" s="300"/>
      <c r="G15" s="465"/>
    </row>
    <row r="16" spans="1:7" s="9" customFormat="1" ht="36.75" customHeight="1">
      <c r="A16" s="463"/>
      <c r="B16" s="296"/>
      <c r="C16" s="297"/>
      <c r="D16" s="298"/>
      <c r="E16" s="299"/>
      <c r="F16" s="300"/>
      <c r="G16" s="465"/>
    </row>
    <row r="17" spans="1:7" s="9" customFormat="1" ht="36.75" customHeight="1">
      <c r="A17" s="463"/>
      <c r="B17" s="296"/>
      <c r="C17" s="297"/>
      <c r="D17" s="298"/>
      <c r="E17" s="299"/>
      <c r="F17" s="300"/>
      <c r="G17" s="465"/>
    </row>
    <row r="18" spans="1:7" s="9" customFormat="1" ht="36.75" customHeight="1">
      <c r="A18" s="463"/>
      <c r="B18" s="296"/>
      <c r="C18" s="297"/>
      <c r="D18" s="298"/>
      <c r="E18" s="299"/>
      <c r="F18" s="300"/>
      <c r="G18" s="465"/>
    </row>
    <row r="19" spans="1:7" s="9" customFormat="1" ht="36.75" customHeight="1">
      <c r="A19" s="463"/>
      <c r="B19" s="296"/>
      <c r="C19" s="297"/>
      <c r="D19" s="298"/>
      <c r="E19" s="299"/>
      <c r="F19" s="300"/>
      <c r="G19" s="465"/>
    </row>
    <row r="20" spans="1:7" s="9" customFormat="1" ht="36.75" customHeight="1">
      <c r="A20" s="463"/>
      <c r="B20" s="296"/>
      <c r="C20" s="297"/>
      <c r="D20" s="298"/>
      <c r="E20" s="299"/>
      <c r="F20" s="300"/>
      <c r="G20" s="465"/>
    </row>
    <row r="21" spans="1:7" s="9" customFormat="1" ht="36.75" customHeight="1">
      <c r="A21" s="463"/>
      <c r="B21" s="296"/>
      <c r="C21" s="297"/>
      <c r="D21" s="298"/>
      <c r="E21" s="299"/>
      <c r="F21" s="300"/>
      <c r="G21" s="465"/>
    </row>
    <row r="22" spans="1:7" s="9" customFormat="1" ht="36.75" customHeight="1">
      <c r="A22" s="463"/>
      <c r="B22" s="296"/>
      <c r="C22" s="297"/>
      <c r="D22" s="298"/>
      <c r="E22" s="299"/>
      <c r="F22" s="300"/>
      <c r="G22" s="465"/>
    </row>
    <row r="23" spans="1:7" s="9" customFormat="1" ht="36.75" customHeight="1">
      <c r="A23" s="463"/>
      <c r="B23" s="296"/>
      <c r="C23" s="297"/>
      <c r="D23" s="298"/>
      <c r="E23" s="299"/>
      <c r="F23" s="300"/>
      <c r="G23" s="465"/>
    </row>
    <row r="24" spans="1:7" s="9" customFormat="1" ht="5.25" customHeight="1" thickBot="1">
      <c r="A24" s="463"/>
      <c r="B24" s="301"/>
      <c r="C24" s="302"/>
      <c r="D24" s="303"/>
      <c r="E24" s="304"/>
      <c r="F24" s="305"/>
      <c r="G24" s="465"/>
    </row>
    <row r="25" spans="1:7" ht="14.4" hidden="1" thickTop="1"/>
    <row r="26" spans="1:7" hidden="1"/>
    <row r="27" spans="1:7" hidden="1"/>
    <row r="28" spans="1:7" hidden="1"/>
    <row r="29" spans="1:7" hidden="1"/>
    <row r="30" spans="1:7" hidden="1"/>
    <row r="31" spans="1:7" hidden="1"/>
    <row r="32" spans="1:7" hidden="1"/>
    <row r="33" hidden="1"/>
    <row r="34" hidden="1"/>
    <row r="35" hidden="1"/>
    <row r="36" hidden="1"/>
    <row r="37" hidden="1"/>
    <row r="38" hidden="1"/>
    <row r="39" hidden="1"/>
    <row r="40" hidden="1"/>
    <row r="41" hidden="1"/>
    <row r="42" hidden="1"/>
    <row r="43" hidden="1"/>
    <row r="44" hidden="1"/>
    <row r="45" hidden="1"/>
    <row r="46" hidden="1"/>
    <row r="47" hidden="1"/>
    <row r="48" hidden="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row r="100" hidden="1"/>
    <row r="101" hidden="1"/>
    <row r="102" hidden="1"/>
    <row r="103" hidden="1"/>
    <row r="104" hidden="1"/>
    <row r="105" hidden="1"/>
    <row r="106" hidden="1"/>
    <row r="107" hidden="1"/>
    <row r="108" hidden="1"/>
    <row r="109" hidden="1"/>
    <row r="110" hidden="1"/>
    <row r="111" hidden="1"/>
    <row r="112" hidden="1"/>
    <row r="113" hidden="1"/>
    <row r="114" hidden="1"/>
    <row r="115" hidden="1"/>
    <row r="116" hidden="1"/>
    <row r="117" hidden="1"/>
    <row r="118" hidden="1"/>
    <row r="119" hidden="1"/>
    <row r="120" hidden="1"/>
    <row r="121" hidden="1"/>
    <row r="122" hidden="1"/>
    <row r="123" hidden="1"/>
    <row r="124" hidden="1"/>
    <row r="125" hidden="1"/>
    <row r="126" hidden="1"/>
    <row r="127" hidden="1"/>
    <row r="128" hidden="1"/>
    <row r="129" hidden="1"/>
    <row r="130" hidden="1"/>
    <row r="131" hidden="1"/>
    <row r="132" hidden="1"/>
    <row r="133" hidden="1"/>
    <row r="134" hidden="1"/>
    <row r="135" hidden="1"/>
    <row r="136" hidden="1"/>
    <row r="137" hidden="1"/>
    <row r="138" hidden="1"/>
    <row r="139" hidden="1"/>
    <row r="140" hidden="1"/>
    <row r="141" hidden="1"/>
    <row r="142" hidden="1"/>
    <row r="143" hidden="1"/>
    <row r="144" hidden="1"/>
    <row r="145" hidden="1"/>
    <row r="146" hidden="1"/>
    <row r="147" hidden="1"/>
    <row r="148" hidden="1"/>
    <row r="149" hidden="1"/>
    <row r="150" hidden="1"/>
    <row r="151" hidden="1"/>
    <row r="152" hidden="1"/>
    <row r="153" hidden="1"/>
    <row r="154" hidden="1"/>
    <row r="155" hidden="1"/>
    <row r="156" hidden="1"/>
    <row r="157" hidden="1"/>
    <row r="158" hidden="1"/>
    <row r="159" hidden="1"/>
    <row r="160" hidden="1"/>
    <row r="161" hidden="1"/>
    <row r="162" hidden="1"/>
    <row r="163" hidden="1"/>
    <row r="164" hidden="1"/>
    <row r="165" hidden="1"/>
    <row r="166" hidden="1"/>
    <row r="167" hidden="1"/>
    <row r="168" hidden="1"/>
    <row r="169" hidden="1"/>
    <row r="170" hidden="1"/>
    <row r="171" hidden="1"/>
    <row r="172" hidden="1"/>
    <row r="173" hidden="1"/>
    <row r="174" hidden="1"/>
    <row r="175" hidden="1"/>
    <row r="176" hidden="1"/>
    <row r="177" hidden="1"/>
    <row r="178" hidden="1"/>
    <row r="179" hidden="1"/>
    <row r="180" hidden="1"/>
    <row r="181" hidden="1"/>
    <row r="182" hidden="1"/>
    <row r="183" hidden="1"/>
    <row r="184" hidden="1"/>
    <row r="185" hidden="1"/>
    <row r="186" hidden="1"/>
    <row r="187" hidden="1"/>
    <row r="188" hidden="1"/>
    <row r="189" hidden="1"/>
    <row r="190" hidden="1"/>
    <row r="191" hidden="1"/>
    <row r="192" hidden="1"/>
    <row r="193" hidden="1"/>
    <row r="194" hidden="1"/>
    <row r="195" hidden="1"/>
    <row r="196" hidden="1"/>
    <row r="197" hidden="1"/>
    <row r="198" hidden="1"/>
    <row r="199" hidden="1"/>
    <row r="200" hidden="1"/>
    <row r="201" hidden="1"/>
    <row r="202" hidden="1"/>
    <row r="203" hidden="1"/>
    <row r="204" hidden="1"/>
    <row r="205" hidden="1"/>
    <row r="206" hidden="1"/>
    <row r="207" hidden="1"/>
    <row r="208" hidden="1"/>
    <row r="209" hidden="1"/>
    <row r="210" hidden="1"/>
    <row r="211" hidden="1"/>
    <row r="212" hidden="1"/>
    <row r="213" hidden="1"/>
    <row r="214" hidden="1"/>
    <row r="215" hidden="1"/>
    <row r="216" hidden="1"/>
    <row r="217" hidden="1"/>
    <row r="218" hidden="1"/>
    <row r="219" hidden="1"/>
    <row r="220" hidden="1"/>
    <row r="221" hidden="1"/>
    <row r="222" hidden="1"/>
    <row r="223" hidden="1"/>
    <row r="224" hidden="1"/>
    <row r="225" hidden="1"/>
    <row r="226" hidden="1"/>
    <row r="227" hidden="1"/>
    <row r="228" hidden="1"/>
    <row r="229" hidden="1"/>
    <row r="230" hidden="1"/>
    <row r="231" hidden="1"/>
    <row r="232" hidden="1"/>
    <row r="233" hidden="1"/>
    <row r="234" hidden="1"/>
    <row r="235" hidden="1"/>
    <row r="236" hidden="1"/>
    <row r="237" hidden="1"/>
    <row r="238" hidden="1"/>
    <row r="239" hidden="1"/>
    <row r="240" hidden="1"/>
    <row r="241" hidden="1"/>
    <row r="242" hidden="1"/>
    <row r="243" hidden="1"/>
    <row r="244" hidden="1"/>
    <row r="245" hidden="1"/>
    <row r="246" hidden="1"/>
    <row r="247" hidden="1"/>
    <row r="248" hidden="1"/>
    <row r="249" hidden="1"/>
    <row r="250" hidden="1"/>
    <row r="251" hidden="1"/>
    <row r="252" hidden="1"/>
    <row r="253" hidden="1"/>
    <row r="254" hidden="1"/>
    <row r="255" hidden="1"/>
    <row r="256" hidden="1"/>
    <row r="257" hidden="1"/>
    <row r="258" hidden="1"/>
    <row r="259" hidden="1"/>
    <row r="260" hidden="1"/>
    <row r="261" hidden="1"/>
    <row r="262" hidden="1"/>
    <row r="263" hidden="1"/>
    <row r="264" hidden="1"/>
    <row r="265" hidden="1"/>
    <row r="266" hidden="1"/>
    <row r="267" hidden="1"/>
    <row r="268" hidden="1"/>
    <row r="269" hidden="1"/>
    <row r="270" hidden="1"/>
    <row r="271" hidden="1"/>
    <row r="272" hidden="1"/>
    <row r="273" hidden="1"/>
    <row r="274" hidden="1"/>
    <row r="275" hidden="1"/>
    <row r="276" hidden="1"/>
    <row r="277" hidden="1"/>
    <row r="278" hidden="1"/>
    <row r="279" hidden="1"/>
    <row r="280" hidden="1"/>
    <row r="281" hidden="1"/>
    <row r="282" hidden="1"/>
    <row r="283" hidden="1"/>
    <row r="284" hidden="1"/>
    <row r="285" hidden="1"/>
    <row r="286" hidden="1"/>
    <row r="287" hidden="1"/>
    <row r="288" hidden="1"/>
    <row r="289" hidden="1"/>
    <row r="290" hidden="1"/>
    <row r="291" hidden="1"/>
    <row r="292" hidden="1"/>
    <row r="293" hidden="1"/>
    <row r="294" hidden="1"/>
    <row r="295" hidden="1"/>
    <row r="296" hidden="1"/>
    <row r="297" hidden="1"/>
    <row r="298" hidden="1"/>
    <row r="299" hidden="1"/>
    <row r="300" hidden="1"/>
    <row r="301" hidden="1"/>
    <row r="302" hidden="1"/>
    <row r="303" hidden="1"/>
    <row r="304" hidden="1"/>
    <row r="305" hidden="1"/>
    <row r="306" hidden="1"/>
    <row r="307" hidden="1"/>
    <row r="308" hidden="1"/>
    <row r="309" hidden="1"/>
    <row r="310" hidden="1"/>
    <row r="311" hidden="1"/>
    <row r="312" hidden="1"/>
    <row r="313" hidden="1"/>
    <row r="314" hidden="1"/>
    <row r="315" hidden="1"/>
    <row r="316" hidden="1"/>
    <row r="317" hidden="1"/>
    <row r="318" hidden="1"/>
    <row r="319" hidden="1"/>
    <row r="320" hidden="1"/>
    <row r="321" hidden="1"/>
    <row r="322" hidden="1"/>
    <row r="323" hidden="1"/>
    <row r="324" hidden="1"/>
    <row r="325" hidden="1"/>
    <row r="326" hidden="1"/>
    <row r="327" hidden="1"/>
    <row r="328" hidden="1"/>
    <row r="329" hidden="1"/>
    <row r="330" hidden="1"/>
    <row r="331" hidden="1"/>
    <row r="332" hidden="1"/>
    <row r="333" hidden="1"/>
    <row r="334" hidden="1"/>
    <row r="335" hidden="1"/>
    <row r="336" hidden="1"/>
    <row r="337" hidden="1"/>
    <row r="338" hidden="1"/>
    <row r="339" hidden="1"/>
    <row r="340" hidden="1"/>
    <row r="341" hidden="1"/>
    <row r="342" hidden="1"/>
    <row r="343" hidden="1"/>
    <row r="344" hidden="1"/>
    <row r="345" hidden="1"/>
    <row r="346" hidden="1"/>
    <row r="347" hidden="1"/>
    <row r="348" hidden="1"/>
    <row r="349" hidden="1"/>
    <row r="350" hidden="1"/>
    <row r="351" hidden="1"/>
    <row r="352" hidden="1"/>
    <row r="353" hidden="1"/>
    <row r="354" hidden="1"/>
    <row r="355" hidden="1"/>
    <row r="356" hidden="1"/>
    <row r="357" hidden="1"/>
    <row r="358" hidden="1"/>
    <row r="359" hidden="1"/>
    <row r="360" hidden="1"/>
    <row r="361" hidden="1"/>
    <row r="362" hidden="1"/>
    <row r="363" hidden="1"/>
    <row r="364" hidden="1"/>
    <row r="365" hidden="1"/>
    <row r="366" hidden="1"/>
    <row r="367" hidden="1"/>
    <row r="368" hidden="1"/>
    <row r="369" hidden="1"/>
    <row r="370" hidden="1"/>
    <row r="371" hidden="1"/>
    <row r="372" hidden="1"/>
    <row r="373" hidden="1"/>
    <row r="374" hidden="1"/>
    <row r="375" hidden="1"/>
    <row r="376" hidden="1"/>
    <row r="377" hidden="1"/>
    <row r="378" hidden="1"/>
    <row r="379" hidden="1"/>
    <row r="380" hidden="1"/>
    <row r="381" hidden="1"/>
    <row r="382" hidden="1"/>
    <row r="383" hidden="1"/>
    <row r="384" hidden="1"/>
    <row r="385" hidden="1"/>
    <row r="386" hidden="1"/>
    <row r="387" hidden="1"/>
    <row r="388" hidden="1"/>
    <row r="389" hidden="1"/>
    <row r="390" hidden="1"/>
    <row r="391" hidden="1"/>
    <row r="392" hidden="1"/>
    <row r="393" hidden="1"/>
    <row r="394" hidden="1"/>
    <row r="395" hidden="1"/>
    <row r="396" hidden="1"/>
    <row r="397" hidden="1"/>
    <row r="398" hidden="1"/>
    <row r="399" hidden="1"/>
    <row r="400" hidden="1"/>
    <row r="401" hidden="1"/>
    <row r="402" hidden="1"/>
    <row r="403" hidden="1"/>
    <row r="404" hidden="1"/>
    <row r="405" hidden="1"/>
    <row r="406" hidden="1"/>
    <row r="407" hidden="1"/>
    <row r="408" hidden="1"/>
    <row r="409" hidden="1"/>
    <row r="410" hidden="1"/>
    <row r="411" hidden="1"/>
    <row r="412" hidden="1"/>
    <row r="413" hidden="1"/>
    <row r="414" hidden="1"/>
    <row r="415" hidden="1"/>
    <row r="416" hidden="1"/>
    <row r="417" hidden="1"/>
    <row r="418" hidden="1"/>
    <row r="419" hidden="1"/>
    <row r="420" hidden="1"/>
    <row r="421" hidden="1"/>
    <row r="422" hidden="1"/>
    <row r="423" hidden="1"/>
    <row r="424" hidden="1"/>
    <row r="425" hidden="1"/>
    <row r="426" hidden="1"/>
    <row r="427" hidden="1"/>
    <row r="428" hidden="1"/>
    <row r="429" hidden="1"/>
    <row r="430" hidden="1"/>
    <row r="431" hidden="1"/>
    <row r="432" hidden="1"/>
    <row r="433" hidden="1"/>
    <row r="434" hidden="1"/>
    <row r="435" hidden="1"/>
    <row r="436" hidden="1"/>
    <row r="437" hidden="1"/>
    <row r="438" hidden="1"/>
    <row r="439" hidden="1"/>
    <row r="440" hidden="1"/>
    <row r="441" hidden="1"/>
    <row r="442" hidden="1"/>
    <row r="443" hidden="1"/>
    <row r="444" hidden="1"/>
    <row r="445" hidden="1"/>
    <row r="446" hidden="1"/>
    <row r="447" hidden="1"/>
    <row r="448"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row r="564" hidden="1"/>
    <row r="565" hidden="1"/>
    <row r="566" hidden="1"/>
    <row r="567" hidden="1"/>
    <row r="568" hidden="1"/>
    <row r="569" hidden="1"/>
    <row r="570" hidden="1"/>
    <row r="571" hidden="1"/>
    <row r="572" hidden="1"/>
    <row r="573" hidden="1"/>
    <row r="574" hidden="1"/>
    <row r="575" hidden="1"/>
    <row r="576" hidden="1"/>
    <row r="577" hidden="1"/>
    <row r="578" hidden="1"/>
    <row r="579" hidden="1"/>
    <row r="580" hidden="1"/>
    <row r="581" hidden="1"/>
    <row r="582" hidden="1"/>
    <row r="583" hidden="1"/>
    <row r="584" hidden="1"/>
    <row r="585" hidden="1"/>
    <row r="586" hidden="1"/>
    <row r="587" hidden="1"/>
    <row r="588" hidden="1"/>
    <row r="589" hidden="1"/>
    <row r="590" hidden="1"/>
    <row r="591" hidden="1"/>
    <row r="592" hidden="1"/>
    <row r="593" hidden="1"/>
    <row r="594" hidden="1"/>
    <row r="595" hidden="1"/>
    <row r="596" hidden="1"/>
    <row r="597" hidden="1"/>
    <row r="598" hidden="1"/>
    <row r="599" hidden="1"/>
    <row r="600" hidden="1"/>
    <row r="601" hidden="1"/>
    <row r="602" hidden="1"/>
    <row r="603" hidden="1"/>
    <row r="604" hidden="1"/>
    <row r="605" hidden="1"/>
    <row r="606" hidden="1"/>
    <row r="607" hidden="1"/>
    <row r="608" hidden="1"/>
    <row r="609" hidden="1"/>
    <row r="610" hidden="1"/>
    <row r="611" hidden="1"/>
    <row r="612" hidden="1"/>
    <row r="613" hidden="1"/>
    <row r="614" hidden="1"/>
    <row r="615" hidden="1"/>
    <row r="616" hidden="1"/>
    <row r="617" hidden="1"/>
    <row r="618" hidden="1"/>
    <row r="619" hidden="1"/>
    <row r="620" hidden="1"/>
    <row r="621" hidden="1"/>
    <row r="622" hidden="1"/>
    <row r="623" hidden="1"/>
    <row r="624" hidden="1"/>
    <row r="625" hidden="1"/>
    <row r="626" hidden="1"/>
    <row r="627" hidden="1"/>
    <row r="628" hidden="1"/>
    <row r="629" hidden="1"/>
    <row r="630" hidden="1"/>
    <row r="631" hidden="1"/>
    <row r="632" hidden="1"/>
    <row r="633" hidden="1"/>
    <row r="634" hidden="1"/>
    <row r="635" hidden="1"/>
    <row r="636" hidden="1"/>
    <row r="637" hidden="1"/>
    <row r="638" hidden="1"/>
    <row r="639" hidden="1"/>
    <row r="640" hidden="1"/>
    <row r="641" hidden="1"/>
    <row r="642" hidden="1"/>
    <row r="643" hidden="1"/>
    <row r="644" hidden="1"/>
    <row r="645" hidden="1"/>
    <row r="646" hidden="1"/>
    <row r="647" hidden="1"/>
    <row r="648" hidden="1"/>
    <row r="649" hidden="1"/>
    <row r="650" hidden="1"/>
    <row r="651" hidden="1"/>
    <row r="652" hidden="1"/>
    <row r="653" hidden="1"/>
    <row r="654" hidden="1"/>
    <row r="655" hidden="1"/>
    <row r="656" hidden="1"/>
    <row r="657" hidden="1"/>
    <row r="658" hidden="1"/>
    <row r="659" hidden="1"/>
    <row r="660" hidden="1"/>
    <row r="661" hidden="1"/>
    <row r="662" hidden="1"/>
    <row r="663" hidden="1"/>
    <row r="664" hidden="1"/>
    <row r="665" hidden="1"/>
    <row r="666" hidden="1"/>
    <row r="667" hidden="1"/>
    <row r="668" hidden="1"/>
    <row r="669" hidden="1"/>
    <row r="670" hidden="1"/>
    <row r="671" hidden="1"/>
    <row r="672" hidden="1"/>
    <row r="673" hidden="1"/>
    <row r="674" hidden="1"/>
    <row r="675" hidden="1"/>
    <row r="676" hidden="1"/>
    <row r="677" hidden="1"/>
    <row r="678" hidden="1"/>
    <row r="679" hidden="1"/>
    <row r="680" hidden="1"/>
    <row r="681" hidden="1"/>
    <row r="682" hidden="1"/>
    <row r="683" hidden="1"/>
    <row r="684" hidden="1"/>
    <row r="685" hidden="1"/>
    <row r="686" hidden="1"/>
    <row r="687" hidden="1"/>
    <row r="688" hidden="1"/>
    <row r="689" hidden="1"/>
    <row r="690" hidden="1"/>
    <row r="691" hidden="1"/>
    <row r="692" hidden="1"/>
    <row r="693" hidden="1"/>
    <row r="694" hidden="1"/>
    <row r="695" hidden="1"/>
    <row r="696" hidden="1"/>
    <row r="697" hidden="1"/>
    <row r="698" hidden="1"/>
    <row r="699" hidden="1"/>
    <row r="700" hidden="1"/>
    <row r="701" hidden="1"/>
    <row r="702" hidden="1"/>
    <row r="703" hidden="1"/>
    <row r="704" hidden="1"/>
    <row r="705" hidden="1"/>
    <row r="706" hidden="1"/>
    <row r="707" hidden="1"/>
    <row r="708" hidden="1"/>
    <row r="709" hidden="1"/>
    <row r="710" hidden="1"/>
    <row r="711" hidden="1"/>
    <row r="712" hidden="1"/>
    <row r="713" hidden="1"/>
    <row r="714" hidden="1"/>
    <row r="715" hidden="1"/>
    <row r="716" hidden="1"/>
    <row r="717" hidden="1"/>
    <row r="718" hidden="1"/>
    <row r="719" hidden="1"/>
    <row r="720" hidden="1"/>
    <row r="721" hidden="1"/>
    <row r="722" hidden="1"/>
    <row r="723" hidden="1"/>
    <row r="724" hidden="1"/>
    <row r="725" hidden="1"/>
    <row r="726" hidden="1"/>
    <row r="727" hidden="1"/>
    <row r="728" hidden="1"/>
    <row r="729" hidden="1"/>
    <row r="730" hidden="1"/>
    <row r="731" hidden="1"/>
    <row r="732" hidden="1"/>
    <row r="733" hidden="1"/>
    <row r="734" hidden="1"/>
    <row r="735" hidden="1"/>
    <row r="736" hidden="1"/>
    <row r="737" hidden="1"/>
    <row r="738" hidden="1"/>
    <row r="739" hidden="1"/>
    <row r="740" hidden="1"/>
    <row r="741" hidden="1"/>
    <row r="742" hidden="1"/>
    <row r="743" hidden="1"/>
    <row r="744" hidden="1"/>
    <row r="745" hidden="1"/>
    <row r="746" hidden="1"/>
    <row r="747" hidden="1"/>
    <row r="748" hidden="1"/>
    <row r="749" hidden="1"/>
    <row r="750" hidden="1"/>
    <row r="751" hidden="1"/>
    <row r="752" hidden="1"/>
    <row r="753" hidden="1"/>
    <row r="754" hidden="1"/>
    <row r="755" hidden="1"/>
    <row r="756" hidden="1"/>
    <row r="757" hidden="1"/>
    <row r="758" hidden="1"/>
    <row r="759" hidden="1"/>
    <row r="760" hidden="1"/>
    <row r="761" hidden="1"/>
    <row r="762" hidden="1"/>
    <row r="763" hidden="1"/>
    <row r="764" hidden="1"/>
    <row r="765" hidden="1"/>
    <row r="766" hidden="1"/>
    <row r="767" hidden="1"/>
    <row r="768" hidden="1"/>
    <row r="769" hidden="1"/>
    <row r="770" hidden="1"/>
    <row r="771" hidden="1"/>
    <row r="772" hidden="1"/>
    <row r="773" hidden="1"/>
    <row r="774" hidden="1"/>
    <row r="775" hidden="1"/>
    <row r="776" hidden="1"/>
    <row r="777" hidden="1"/>
    <row r="778" hidden="1"/>
    <row r="779" hidden="1"/>
    <row r="780" hidden="1"/>
    <row r="781" hidden="1"/>
    <row r="782" hidden="1"/>
    <row r="783" hidden="1"/>
    <row r="784" hidden="1"/>
    <row r="785" hidden="1"/>
    <row r="786" hidden="1"/>
    <row r="787" hidden="1"/>
    <row r="788" hidden="1"/>
    <row r="789" hidden="1"/>
    <row r="790" hidden="1"/>
    <row r="791" hidden="1"/>
    <row r="792" hidden="1"/>
    <row r="793" hidden="1"/>
    <row r="794" hidden="1"/>
    <row r="795" hidden="1"/>
    <row r="796" hidden="1"/>
    <row r="797" hidden="1"/>
    <row r="798" hidden="1"/>
    <row r="799" hidden="1"/>
    <row r="800" hidden="1"/>
    <row r="801" hidden="1"/>
    <row r="802" hidden="1"/>
    <row r="803" hidden="1"/>
    <row r="804" hidden="1"/>
    <row r="805" hidden="1"/>
    <row r="806" hidden="1"/>
    <row r="807" hidden="1"/>
    <row r="808" hidden="1"/>
    <row r="809" hidden="1"/>
    <row r="810" hidden="1"/>
    <row r="811" hidden="1"/>
    <row r="812" hidden="1"/>
    <row r="813" hidden="1"/>
    <row r="814" hidden="1"/>
    <row r="815" hidden="1"/>
    <row r="816" hidden="1"/>
    <row r="817" hidden="1"/>
    <row r="818" hidden="1"/>
    <row r="819" hidden="1"/>
    <row r="820" hidden="1"/>
    <row r="821" hidden="1"/>
    <row r="822" hidden="1"/>
    <row r="823" hidden="1"/>
    <row r="824" hidden="1"/>
    <row r="825" hidden="1"/>
    <row r="826" hidden="1"/>
    <row r="827" hidden="1"/>
    <row r="828" hidden="1"/>
    <row r="829" hidden="1"/>
    <row r="830" hidden="1"/>
    <row r="831" hidden="1"/>
    <row r="832" hidden="1"/>
    <row r="833" hidden="1"/>
    <row r="834" hidden="1"/>
    <row r="835" hidden="1"/>
    <row r="836" hidden="1"/>
    <row r="837" hidden="1"/>
    <row r="838" hidden="1"/>
    <row r="839" hidden="1"/>
    <row r="840" hidden="1"/>
    <row r="841" hidden="1"/>
    <row r="842" hidden="1"/>
    <row r="843" hidden="1"/>
    <row r="844" hidden="1"/>
    <row r="845" hidden="1"/>
    <row r="846" hidden="1"/>
    <row r="847" hidden="1"/>
    <row r="848" hidden="1"/>
    <row r="849" hidden="1"/>
    <row r="850" hidden="1"/>
    <row r="851" hidden="1"/>
    <row r="852" hidden="1"/>
    <row r="853" hidden="1"/>
    <row r="854" hidden="1"/>
    <row r="855" hidden="1"/>
    <row r="856" hidden="1"/>
    <row r="857" hidden="1"/>
    <row r="858" hidden="1"/>
    <row r="859" hidden="1"/>
    <row r="860" hidden="1"/>
    <row r="861" hidden="1"/>
    <row r="862" hidden="1"/>
    <row r="863" hidden="1"/>
    <row r="864" hidden="1"/>
    <row r="865" hidden="1"/>
    <row r="866" hidden="1"/>
    <row r="867" hidden="1"/>
    <row r="868" hidden="1"/>
    <row r="869" hidden="1"/>
    <row r="870" hidden="1"/>
    <row r="871" hidden="1"/>
    <row r="872" hidden="1"/>
    <row r="873" hidden="1"/>
    <row r="874" hidden="1"/>
    <row r="875" hidden="1"/>
    <row r="876" hidden="1"/>
    <row r="877" hidden="1"/>
    <row r="878" hidden="1"/>
    <row r="879" hidden="1"/>
    <row r="880" hidden="1"/>
    <row r="881" hidden="1"/>
    <row r="882" hidden="1"/>
    <row r="883" hidden="1"/>
    <row r="884" hidden="1"/>
    <row r="885" hidden="1"/>
    <row r="886" hidden="1"/>
    <row r="887" hidden="1"/>
    <row r="888" hidden="1"/>
    <row r="889" hidden="1"/>
    <row r="890" hidden="1"/>
    <row r="891" hidden="1"/>
    <row r="892" hidden="1"/>
    <row r="893" hidden="1"/>
    <row r="894" hidden="1"/>
    <row r="895" hidden="1"/>
    <row r="896" hidden="1"/>
    <row r="897" hidden="1"/>
    <row r="898" hidden="1"/>
    <row r="899" hidden="1"/>
    <row r="900" hidden="1"/>
    <row r="901" hidden="1"/>
    <row r="902" hidden="1"/>
    <row r="903" hidden="1"/>
    <row r="904" hidden="1"/>
    <row r="905" hidden="1"/>
    <row r="906" hidden="1"/>
    <row r="907" hidden="1"/>
    <row r="908" hidden="1"/>
    <row r="909" hidden="1"/>
    <row r="910" hidden="1"/>
    <row r="911" hidden="1"/>
    <row r="912" hidden="1"/>
    <row r="913" hidden="1"/>
    <row r="914" hidden="1"/>
    <row r="915" hidden="1"/>
    <row r="916" hidden="1"/>
    <row r="917" hidden="1"/>
    <row r="918" hidden="1"/>
    <row r="919" hidden="1"/>
    <row r="920" hidden="1"/>
    <row r="921" hidden="1"/>
    <row r="922" hidden="1"/>
    <row r="923" hidden="1"/>
    <row r="924" hidden="1"/>
    <row r="925" hidden="1"/>
    <row r="926" hidden="1"/>
    <row r="927" hidden="1"/>
    <row r="928" hidden="1"/>
    <row r="929" hidden="1"/>
    <row r="930" hidden="1"/>
    <row r="931" hidden="1"/>
    <row r="932" hidden="1"/>
    <row r="933" hidden="1"/>
    <row r="934" hidden="1"/>
    <row r="935" hidden="1"/>
    <row r="936" hidden="1"/>
    <row r="937" hidden="1"/>
    <row r="938" hidden="1"/>
    <row r="939" hidden="1"/>
    <row r="940" hidden="1"/>
    <row r="941" hidden="1"/>
    <row r="942" hidden="1"/>
    <row r="943" hidden="1"/>
    <row r="944" hidden="1"/>
    <row r="945" hidden="1"/>
    <row r="946" hidden="1"/>
    <row r="947" hidden="1"/>
    <row r="948" hidden="1"/>
    <row r="949" hidden="1"/>
    <row r="950" hidden="1"/>
    <row r="951" hidden="1"/>
    <row r="952" hidden="1"/>
    <row r="953" hidden="1"/>
    <row r="954" hidden="1"/>
    <row r="955" hidden="1"/>
    <row r="956" hidden="1"/>
    <row r="957" hidden="1"/>
    <row r="958" hidden="1"/>
    <row r="959" hidden="1"/>
    <row r="960" hidden="1"/>
    <row r="961" hidden="1"/>
    <row r="962" hidden="1"/>
    <row r="963" hidden="1"/>
    <row r="964" hidden="1"/>
    <row r="965" hidden="1"/>
    <row r="966" hidden="1"/>
    <row r="967" hidden="1"/>
    <row r="968" hidden="1"/>
    <row r="969" hidden="1"/>
    <row r="970" hidden="1"/>
    <row r="971" hidden="1"/>
    <row r="972" hidden="1"/>
    <row r="973" hidden="1"/>
    <row r="974" hidden="1"/>
    <row r="975" hidden="1"/>
    <row r="976" hidden="1"/>
    <row r="977" hidden="1"/>
    <row r="978" hidden="1"/>
    <row r="979" hidden="1"/>
    <row r="980" hidden="1"/>
    <row r="981" hidden="1"/>
    <row r="982" hidden="1"/>
    <row r="983" hidden="1"/>
    <row r="984" hidden="1"/>
    <row r="985" hidden="1"/>
    <row r="986" hidden="1"/>
    <row r="987" hidden="1"/>
    <row r="988" hidden="1"/>
    <row r="989" hidden="1"/>
    <row r="990" hidden="1"/>
    <row r="991" hidden="1"/>
    <row r="992" hidden="1"/>
    <row r="993" hidden="1"/>
    <row r="994" hidden="1"/>
    <row r="995" hidden="1"/>
    <row r="996" hidden="1"/>
    <row r="997" hidden="1"/>
    <row r="998" hidden="1"/>
    <row r="999" hidden="1"/>
    <row r="1000" hidden="1"/>
    <row r="1001" hidden="1"/>
    <row r="1002" hidden="1"/>
    <row r="1003" hidden="1"/>
    <row r="1004" hidden="1"/>
  </sheetData>
  <sheetProtection password="8B16" sheet="1" objects="1" scenarios="1"/>
  <mergeCells count="1">
    <mergeCell ref="B2:F3"/>
  </mergeCells>
  <phoneticPr fontId="0" type="noConversion"/>
  <pageMargins left="0.5" right="0.49" top="0.78" bottom="0.83" header="0.5" footer="0.5"/>
  <pageSetup scale="84" orientation="portrait" horizontalDpi="1200" r:id="rId1"/>
  <headerFooter alignWithMargins="0">
    <oddFooter>&amp;CAWWA Free Water Audit Software v5.0&amp;R&amp;A     &amp;P</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7</vt:i4>
      </vt:variant>
    </vt:vector>
  </HeadingPairs>
  <TitlesOfParts>
    <vt:vector size="21" baseType="lpstr">
      <vt:lpstr>Instructions</vt:lpstr>
      <vt:lpstr>Reporting Worksheet</vt:lpstr>
      <vt:lpstr>Performance Indicators</vt:lpstr>
      <vt:lpstr>Comments</vt:lpstr>
      <vt:lpstr>Water Balance</vt:lpstr>
      <vt:lpstr>GradingAssessment</vt:lpstr>
      <vt:lpstr>Dashboard</vt:lpstr>
      <vt:lpstr>Grading Matrix</vt:lpstr>
      <vt:lpstr>Service Connection Diagram</vt:lpstr>
      <vt:lpstr>Definitions</vt:lpstr>
      <vt:lpstr>Loss Control Planning</vt:lpstr>
      <vt:lpstr>Example Audits</vt:lpstr>
      <vt:lpstr>Acknowledgements</vt:lpstr>
      <vt:lpstr>Sheet1</vt:lpstr>
      <vt:lpstr>Definitions!Print_Area</vt:lpstr>
      <vt:lpstr>'Performance Indicators'!Print_Area</vt:lpstr>
      <vt:lpstr>'Reporting Worksheet'!Print_Area</vt:lpstr>
      <vt:lpstr>'Service Connection Diagram'!Print_Area</vt:lpstr>
      <vt:lpstr>Comments!Print_Titles</vt:lpstr>
      <vt:lpstr>Definitions!Print_Titles</vt:lpstr>
      <vt:lpstr>'Grading Matrix'!Print_Titles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AWWA Water Audit Software</dc:title>
  <dc:creator>Andrew Chastain-Howley, Alain Lalonde, George Kunkel P.E., David Sayers</dc:creator>
  <cp:lastModifiedBy>Eric Volk</cp:lastModifiedBy>
  <cp:lastPrinted>2018-03-02T17:52:13Z</cp:lastPrinted>
  <dcterms:created xsi:type="dcterms:W3CDTF">2004-11-04T17:59:53Z</dcterms:created>
  <dcterms:modified xsi:type="dcterms:W3CDTF">2018-10-02T13:31:00Z</dcterms:modified>
</cp:coreProperties>
</file>